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https://gsacyr-my.sharepoint.com/personal/dmadeira_sacyr_com/Documents/Área de Trabalho/"/>
    </mc:Choice>
  </mc:AlternateContent>
  <xr:revisionPtr revIDLastSave="0" documentId="14_{791AC1F8-270B-463B-84F6-AEBF384ECD14}" xr6:coauthVersionLast="47" xr6:coauthVersionMax="47" xr10:uidLastSave="{00000000-0000-0000-0000-000000000000}"/>
  <bookViews>
    <workbookView xWindow="-120" yWindow="-120" windowWidth="24240" windowHeight="13140" tabRatio="901" xr2:uid="{00000000-000D-0000-FFFF-FFFF00000000}"/>
  </bookViews>
  <sheets>
    <sheet name="CAPA" sheetId="13" r:id="rId1"/>
    <sheet name="MAPA" sheetId="14" r:id="rId2"/>
    <sheet name="_RESUMO" sheetId="12" r:id="rId3"/>
    <sheet name="_ORÇAMENTO" sheetId="15" r:id="rId4"/>
    <sheet name="FIT" sheetId="27" r:id="rId5"/>
    <sheet name="BDI" sheetId="4" r:id="rId6"/>
    <sheet name="CPUs" sheetId="31" r:id="rId7"/>
    <sheet name="Cotações" sheetId="35" r:id="rId8"/>
    <sheet name="Mat Betuminosos" sheetId="30" r:id="rId9"/>
    <sheet name="ÍNDICES" sheetId="36" r:id="rId10"/>
    <sheet name="EquiRS042022" sheetId="32" r:id="rId11"/>
    <sheet name="MaoRS042022" sheetId="33" r:id="rId12"/>
  </sheets>
  <externalReferences>
    <externalReference r:id="rId13"/>
    <externalReference r:id="rId14"/>
    <externalReference r:id="rId15"/>
  </externalReferences>
  <definedNames>
    <definedName name="__________________OUT98" localSheetId="7" hidden="1">{#N/A,#N/A,TRUE,"Serviços"}</definedName>
    <definedName name="__________________OUT98" localSheetId="6" hidden="1">{#N/A,#N/A,TRUE,"Serviços"}</definedName>
    <definedName name="__________________OUT98" localSheetId="9" hidden="1">{#N/A,#N/A,TRUE,"Serviços"}</definedName>
    <definedName name="__________________OUT98" localSheetId="8" hidden="1">{#N/A,#N/A,TRUE,"Serviços"}</definedName>
    <definedName name="__________________OUT98" hidden="1">{#N/A,#N/A,TRUE,"Serviços"}</definedName>
    <definedName name="_____________OUT98" localSheetId="7" hidden="1">{#N/A,#N/A,TRUE,"Serviços"}</definedName>
    <definedName name="_____________OUT98" localSheetId="6" hidden="1">{#N/A,#N/A,TRUE,"Serviços"}</definedName>
    <definedName name="_____________OUT98" localSheetId="9" hidden="1">{#N/A,#N/A,TRUE,"Serviços"}</definedName>
    <definedName name="_____________OUT98" localSheetId="8" hidden="1">{#N/A,#N/A,TRUE,"Serviços"}</definedName>
    <definedName name="_____________OUT98" hidden="1">{#N/A,#N/A,TRUE,"Serviços"}</definedName>
    <definedName name="____________OUT98" localSheetId="7" hidden="1">{#N/A,#N/A,TRUE,"Serviços"}</definedName>
    <definedName name="____________OUT98" localSheetId="6" hidden="1">{#N/A,#N/A,TRUE,"Serviços"}</definedName>
    <definedName name="____________OUT98" localSheetId="9" hidden="1">{#N/A,#N/A,TRUE,"Serviços"}</definedName>
    <definedName name="____________OUT98" localSheetId="8" hidden="1">{#N/A,#N/A,TRUE,"Serviços"}</definedName>
    <definedName name="____________OUT98" hidden="1">{#N/A,#N/A,TRUE,"Serviços"}</definedName>
    <definedName name="____________OUT988" localSheetId="7" hidden="1">{#N/A,#N/A,TRUE,"Serviços"}</definedName>
    <definedName name="____________OUT988" localSheetId="6" hidden="1">{#N/A,#N/A,TRUE,"Serviços"}</definedName>
    <definedName name="____________OUT988" localSheetId="9" hidden="1">{#N/A,#N/A,TRUE,"Serviços"}</definedName>
    <definedName name="____________OUT988" localSheetId="8" hidden="1">{#N/A,#N/A,TRUE,"Serviços"}</definedName>
    <definedName name="____________OUT988" hidden="1">{#N/A,#N/A,TRUE,"Serviços"}</definedName>
    <definedName name="___________OUT98" localSheetId="7" hidden="1">{#N/A,#N/A,TRUE,"Serviços"}</definedName>
    <definedName name="___________OUT98" localSheetId="6" hidden="1">{#N/A,#N/A,TRUE,"Serviços"}</definedName>
    <definedName name="___________OUT98" localSheetId="9" hidden="1">{#N/A,#N/A,TRUE,"Serviços"}</definedName>
    <definedName name="___________OUT98" localSheetId="8" hidden="1">{#N/A,#N/A,TRUE,"Serviços"}</definedName>
    <definedName name="___________OUT98" hidden="1">{#N/A,#N/A,TRUE,"Serviços"}</definedName>
    <definedName name="___________OUT988" localSheetId="7" hidden="1">{#N/A,#N/A,TRUE,"Serviços"}</definedName>
    <definedName name="___________OUT988" localSheetId="6" hidden="1">{#N/A,#N/A,TRUE,"Serviços"}</definedName>
    <definedName name="___________OUT988" localSheetId="9" hidden="1">{#N/A,#N/A,TRUE,"Serviços"}</definedName>
    <definedName name="___________OUT988" localSheetId="8" hidden="1">{#N/A,#N/A,TRUE,"Serviços"}</definedName>
    <definedName name="___________OUT988" hidden="1">{#N/A,#N/A,TRUE,"Serviços"}</definedName>
    <definedName name="___________OUT9888" localSheetId="7" hidden="1">{#N/A,#N/A,TRUE,"Serviços"}</definedName>
    <definedName name="___________OUT9888" localSheetId="6" hidden="1">{#N/A,#N/A,TRUE,"Serviços"}</definedName>
    <definedName name="___________OUT9888" localSheetId="9" hidden="1">{#N/A,#N/A,TRUE,"Serviços"}</definedName>
    <definedName name="___________OUT9888" localSheetId="8" hidden="1">{#N/A,#N/A,TRUE,"Serviços"}</definedName>
    <definedName name="___________OUT9888" hidden="1">{#N/A,#N/A,TRUE,"Serviços"}</definedName>
    <definedName name="__________OUT98" localSheetId="7" hidden="1">{#N/A,#N/A,TRUE,"Serviços"}</definedName>
    <definedName name="__________OUT98" localSheetId="6" hidden="1">{#N/A,#N/A,TRUE,"Serviços"}</definedName>
    <definedName name="__________OUT98" localSheetId="9" hidden="1">{#N/A,#N/A,TRUE,"Serviços"}</definedName>
    <definedName name="__________OUT98" localSheetId="8" hidden="1">{#N/A,#N/A,TRUE,"Serviços"}</definedName>
    <definedName name="__________OUT98" hidden="1">{#N/A,#N/A,TRUE,"Serviços"}</definedName>
    <definedName name="_________OUT98" localSheetId="7" hidden="1">{#N/A,#N/A,TRUE,"Serviços"}</definedName>
    <definedName name="_________OUT98" localSheetId="6" hidden="1">{#N/A,#N/A,TRUE,"Serviços"}</definedName>
    <definedName name="_________OUT98" localSheetId="9" hidden="1">{#N/A,#N/A,TRUE,"Serviços"}</definedName>
    <definedName name="_________OUT98" localSheetId="8" hidden="1">{#N/A,#N/A,TRUE,"Serviços"}</definedName>
    <definedName name="_________OUT98" hidden="1">{#N/A,#N/A,TRUE,"Serviços"}</definedName>
    <definedName name="_________OUTT98" localSheetId="7" hidden="1">{#N/A,#N/A,TRUE,"Serviços"}</definedName>
    <definedName name="_________OUTT98" localSheetId="6" hidden="1">{#N/A,#N/A,TRUE,"Serviços"}</definedName>
    <definedName name="_________OUTT98" localSheetId="9" hidden="1">{#N/A,#N/A,TRUE,"Serviços"}</definedName>
    <definedName name="_________OUTT98" localSheetId="8" hidden="1">{#N/A,#N/A,TRUE,"Serviços"}</definedName>
    <definedName name="_________OUTT98" hidden="1">{#N/A,#N/A,TRUE,"Serviços"}</definedName>
    <definedName name="_________OUTT988" localSheetId="7" hidden="1">{#N/A,#N/A,TRUE,"Serviços"}</definedName>
    <definedName name="_________OUTT988" localSheetId="6" hidden="1">{#N/A,#N/A,TRUE,"Serviços"}</definedName>
    <definedName name="_________OUTT988" localSheetId="9" hidden="1">{#N/A,#N/A,TRUE,"Serviços"}</definedName>
    <definedName name="_________OUTT988" localSheetId="8" hidden="1">{#N/A,#N/A,TRUE,"Serviços"}</definedName>
    <definedName name="_________OUTT988" hidden="1">{#N/A,#N/A,TRUE,"Serviços"}</definedName>
    <definedName name="________OUT98" localSheetId="7" hidden="1">{#N/A,#N/A,TRUE,"Serviços"}</definedName>
    <definedName name="________OUT98" localSheetId="6" hidden="1">{#N/A,#N/A,TRUE,"Serviços"}</definedName>
    <definedName name="________OUT98" localSheetId="9" hidden="1">{#N/A,#N/A,TRUE,"Serviços"}</definedName>
    <definedName name="________OUT98" localSheetId="8" hidden="1">{#N/A,#N/A,TRUE,"Serviços"}</definedName>
    <definedName name="________OUT98" hidden="1">{#N/A,#N/A,TRUE,"Serviços"}</definedName>
    <definedName name="________OUTTT98" localSheetId="7" hidden="1">{#N/A,#N/A,TRUE,"Serviços"}</definedName>
    <definedName name="________OUTTT98" localSheetId="6" hidden="1">{#N/A,#N/A,TRUE,"Serviços"}</definedName>
    <definedName name="________OUTTT98" localSheetId="9" hidden="1">{#N/A,#N/A,TRUE,"Serviços"}</definedName>
    <definedName name="________OUTTT98" localSheetId="8" hidden="1">{#N/A,#N/A,TRUE,"Serviços"}</definedName>
    <definedName name="________OUTTT98" hidden="1">{#N/A,#N/A,TRUE,"Serviços"}</definedName>
    <definedName name="_______OUT98" localSheetId="7" hidden="1">{#N/A,#N/A,TRUE,"Serviços"}</definedName>
    <definedName name="_______OUT98" localSheetId="6" hidden="1">{#N/A,#N/A,TRUE,"Serviços"}</definedName>
    <definedName name="_______OUT98" localSheetId="9" hidden="1">{#N/A,#N/A,TRUE,"Serviços"}</definedName>
    <definedName name="_______OUT98" localSheetId="8" hidden="1">{#N/A,#N/A,TRUE,"Serviços"}</definedName>
    <definedName name="_______OUT98" hidden="1">{#N/A,#N/A,TRUE,"Serviços"}</definedName>
    <definedName name="_______OUT9888" localSheetId="7" hidden="1">{#N/A,#N/A,TRUE,"Serviços"}</definedName>
    <definedName name="_______OUT9888" localSheetId="6" hidden="1">{#N/A,#N/A,TRUE,"Serviços"}</definedName>
    <definedName name="_______OUT9888" localSheetId="9" hidden="1">{#N/A,#N/A,TRUE,"Serviços"}</definedName>
    <definedName name="_______OUT9888" localSheetId="8" hidden="1">{#N/A,#N/A,TRUE,"Serviços"}</definedName>
    <definedName name="_______OUT9888" hidden="1">{#N/A,#N/A,TRUE,"Serviços"}</definedName>
    <definedName name="______OUT98" localSheetId="7" hidden="1">{#N/A,#N/A,TRUE,"Serviços"}</definedName>
    <definedName name="______OUT98" localSheetId="6" hidden="1">{#N/A,#N/A,TRUE,"Serviços"}</definedName>
    <definedName name="______OUT98" localSheetId="9" hidden="1">{#N/A,#N/A,TRUE,"Serviços"}</definedName>
    <definedName name="______OUT98" localSheetId="8" hidden="1">{#N/A,#N/A,TRUE,"Serviços"}</definedName>
    <definedName name="______OUT98" hidden="1">{#N/A,#N/A,TRUE,"Serviços"}</definedName>
    <definedName name="______OUTT98888" localSheetId="7" hidden="1">{#N/A,#N/A,TRUE,"Serviços"}</definedName>
    <definedName name="______OUTT98888" localSheetId="6" hidden="1">{#N/A,#N/A,TRUE,"Serviços"}</definedName>
    <definedName name="______OUTT98888" localSheetId="9" hidden="1">{#N/A,#N/A,TRUE,"Serviços"}</definedName>
    <definedName name="______OUTT98888" localSheetId="8" hidden="1">{#N/A,#N/A,TRUE,"Serviços"}</definedName>
    <definedName name="______OUTT98888" hidden="1">{#N/A,#N/A,TRUE,"Serviços"}</definedName>
    <definedName name="_____OUT98" localSheetId="7" hidden="1">{#N/A,#N/A,TRUE,"Serviços"}</definedName>
    <definedName name="_____OUT98" localSheetId="6" hidden="1">{#N/A,#N/A,TRUE,"Serviços"}</definedName>
    <definedName name="_____OUT98" localSheetId="9" hidden="1">{#N/A,#N/A,TRUE,"Serviços"}</definedName>
    <definedName name="_____OUT98" localSheetId="8" hidden="1">{#N/A,#N/A,TRUE,"Serviços"}</definedName>
    <definedName name="_____OUT98" hidden="1">{#N/A,#N/A,TRUE,"Serviços"}</definedName>
    <definedName name="_____OUTTT988" localSheetId="7" hidden="1">{#N/A,#N/A,TRUE,"Serviços"}</definedName>
    <definedName name="_____OUTTT988" localSheetId="6" hidden="1">{#N/A,#N/A,TRUE,"Serviços"}</definedName>
    <definedName name="_____OUTTT988" localSheetId="9" hidden="1">{#N/A,#N/A,TRUE,"Serviços"}</definedName>
    <definedName name="_____OUTTT988" localSheetId="8" hidden="1">{#N/A,#N/A,TRUE,"Serviços"}</definedName>
    <definedName name="_____OUTTT988" hidden="1">{#N/A,#N/A,TRUE,"Serviços"}</definedName>
    <definedName name="____OUT98" localSheetId="7" hidden="1">{#N/A,#N/A,TRUE,"Serviços"}</definedName>
    <definedName name="____OUT98" localSheetId="6" hidden="1">{#N/A,#N/A,TRUE,"Serviços"}</definedName>
    <definedName name="____OUT98" localSheetId="9" hidden="1">{#N/A,#N/A,TRUE,"Serviços"}</definedName>
    <definedName name="____OUT98" localSheetId="8" hidden="1">{#N/A,#N/A,TRUE,"Serviços"}</definedName>
    <definedName name="____OUT98" hidden="1">{#N/A,#N/A,TRUE,"Serviços"}</definedName>
    <definedName name="____OUTTT98" localSheetId="7" hidden="1">{#N/A,#N/A,TRUE,"Serviços"}</definedName>
    <definedName name="____OUTTT98" localSheetId="6" hidden="1">{#N/A,#N/A,TRUE,"Serviços"}</definedName>
    <definedName name="____OUTTT98" localSheetId="9" hidden="1">{#N/A,#N/A,TRUE,"Serviços"}</definedName>
    <definedName name="____OUTTT98" localSheetId="8" hidden="1">{#N/A,#N/A,TRUE,"Serviços"}</definedName>
    <definedName name="____OUTTT98" hidden="1">{#N/A,#N/A,TRUE,"Serviços"}</definedName>
    <definedName name="___OUT98" localSheetId="7" hidden="1">{#N/A,#N/A,TRUE,"Serviços"}</definedName>
    <definedName name="___OUT98" localSheetId="6" hidden="1">{#N/A,#N/A,TRUE,"Serviços"}</definedName>
    <definedName name="___OUT98" localSheetId="9" hidden="1">{#N/A,#N/A,TRUE,"Serviços"}</definedName>
    <definedName name="___OUT98" localSheetId="8" hidden="1">{#N/A,#N/A,TRUE,"Serviços"}</definedName>
    <definedName name="___OUT98" hidden="1">{#N/A,#N/A,TRUE,"Serviços"}</definedName>
    <definedName name="__123Graph_A" hidden="1">[1]A!$B$4:$E$4</definedName>
    <definedName name="__123Graph_AGraph1" hidden="1">[1]A!$B$4:$B$8</definedName>
    <definedName name="__123Graph_AGraph10" hidden="1">[2]aux!$I$24:$M$24</definedName>
    <definedName name="__123Graph_AGraph11" hidden="1">[2]aux!$I$26:$M$26</definedName>
    <definedName name="__123Graph_AGraph12" hidden="1">[2]aux!$I$28:$M$28</definedName>
    <definedName name="__123Graph_AGraph2" hidden="1">[1]A!$C$4:$C$8</definedName>
    <definedName name="__123Graph_AGraph3" hidden="1">[1]A!$D$4:$D$8</definedName>
    <definedName name="__123Graph_AGraph4" hidden="1">[1]A!$B$4:$B$9</definedName>
    <definedName name="__123Graph_AGraph5" hidden="1">[1]A!$B$4:$B$9</definedName>
    <definedName name="__123Graph_AGraph6" hidden="1">[1]A!$E$4:$E$8</definedName>
    <definedName name="__123Graph_AGraph7" hidden="1">[1]A!$B$4:$E$4</definedName>
    <definedName name="__123Graph_AGraph8" hidden="1">[1]A!$B$4:$E$4</definedName>
    <definedName name="__123Graph_AGraph9" hidden="1">[2]aux!$I$22:$M$22</definedName>
    <definedName name="__123Graph_B" hidden="1">[1]A!$B$5:$E$5</definedName>
    <definedName name="__123Graph_BGraph1" hidden="1">[2]aux!$B$6:$F$6</definedName>
    <definedName name="__123Graph_BGraph10" hidden="1">[2]aux!$B$24:$F$24</definedName>
    <definedName name="__123Graph_BGraph11" hidden="1">[2]aux!$B$26:$F$26</definedName>
    <definedName name="__123Graph_BGraph12" hidden="1">[2]aux!$B$28:$F$28</definedName>
    <definedName name="__123Graph_BGraph2" hidden="1">[2]aux!$B$8:$F$8</definedName>
    <definedName name="__123Graph_BGraph3" hidden="1">[2]aux!$B$10:$F$10</definedName>
    <definedName name="__123Graph_BGraph4" hidden="1">[2]aux!$B$12:$F$12</definedName>
    <definedName name="__123Graph_BGraph5" hidden="1">[2]aux!$B$14:$F$14</definedName>
    <definedName name="__123Graph_BGraph6" hidden="1">[2]aux!$B$16:$F$16</definedName>
    <definedName name="__123Graph_BGraph7" hidden="1">[1]A!$B$5:$E$5</definedName>
    <definedName name="__123Graph_BGraph8" hidden="1">[1]A!$B$5:$E$5</definedName>
    <definedName name="__123Graph_BGraph9" hidden="1">[2]aux!$B$22:$F$22</definedName>
    <definedName name="__123Graph_C" hidden="1">[1]A!$B$6:$E$6</definedName>
    <definedName name="__123Graph_CGraph7" hidden="1">[1]A!$B$6:$E$6</definedName>
    <definedName name="__123Graph_CGraph8" hidden="1">[1]A!$B$6:$E$6</definedName>
    <definedName name="__123Graph_D" hidden="1">[1]A!$B$7:$E$7</definedName>
    <definedName name="__123Graph_DGraph7" hidden="1">[1]A!$B$7:$E$7</definedName>
    <definedName name="__123Graph_DGraph8" hidden="1">[1]A!$B$7:$E$7</definedName>
    <definedName name="__123Graph_E" hidden="1">[1]A!$B$8:$E$8</definedName>
    <definedName name="__123Graph_EGraph7" hidden="1">[1]A!$B$8:$E$8</definedName>
    <definedName name="__123Graph_EGraph8" hidden="1">[1]A!$B$8:$E$8</definedName>
    <definedName name="__123Graph_X" hidden="1">[1]A!$B$3:$E$3</definedName>
    <definedName name="__123Graph_XGraph1" hidden="1">[1]A!$A$4:$A$8</definedName>
    <definedName name="__123Graph_XGraph10" hidden="1">[2]aux!$B$25:$F$25</definedName>
    <definedName name="__123Graph_XGraph11" hidden="1">[2]aux!$B$27:$F$27</definedName>
    <definedName name="__123Graph_XGraph12" hidden="1">[2]aux!$B$29:$F$29</definedName>
    <definedName name="__123Graph_XGraph2" hidden="1">[1]A!$A$4:$A$8</definedName>
    <definedName name="__123Graph_XGraph3" hidden="1">[1]A!$A$4:$A$8</definedName>
    <definedName name="__123Graph_XGraph4" hidden="1">[1]A!$A$4:$A$9</definedName>
    <definedName name="__123Graph_XGraph5" hidden="1">[1]A!$A$4:$A$9</definedName>
    <definedName name="__123Graph_XGraph6" hidden="1">[1]A!$A$4:$A$8</definedName>
    <definedName name="__123Graph_XGraph7" hidden="1">[1]A!$B$3:$E$3</definedName>
    <definedName name="__123Graph_XGraph8" hidden="1">[1]A!$B$3:$E$3</definedName>
    <definedName name="__123Graph_XGraph9" hidden="1">[2]aux!$B$23:$F$23</definedName>
    <definedName name="__OUT98" localSheetId="7" hidden="1">{#N/A,#N/A,TRUE,"Serviços"}</definedName>
    <definedName name="__OUT98" localSheetId="6" hidden="1">{#N/A,#N/A,TRUE,"Serviços"}</definedName>
    <definedName name="__OUT98" localSheetId="9" hidden="1">{#N/A,#N/A,TRUE,"Serviços"}</definedName>
    <definedName name="__OUT98" localSheetId="8" hidden="1">{#N/A,#N/A,TRUE,"Serviços"}</definedName>
    <definedName name="__OUT98" hidden="1">{#N/A,#N/A,TRUE,"Serviços"}</definedName>
    <definedName name="__OUT988888" localSheetId="7" hidden="1">{#N/A,#N/A,TRUE,"Serviços"}</definedName>
    <definedName name="__OUT988888" localSheetId="6" hidden="1">{#N/A,#N/A,TRUE,"Serviços"}</definedName>
    <definedName name="__OUT988888" localSheetId="9" hidden="1">{#N/A,#N/A,TRUE,"Serviços"}</definedName>
    <definedName name="__OUT988888" localSheetId="8" hidden="1">{#N/A,#N/A,TRUE,"Serviços"}</definedName>
    <definedName name="__OUT988888" hidden="1">{#N/A,#N/A,TRUE,"Serviços"}</definedName>
    <definedName name="__xlfn.RTD" hidden="1">#NAME?</definedName>
    <definedName name="_xlnm._FilterDatabase" localSheetId="3" hidden="1">_ORÇAMENTO!$B$15:$H$33</definedName>
    <definedName name="_xlnm._FilterDatabase" localSheetId="7" hidden="1">Cotações!$B$1:$K$21</definedName>
    <definedName name="_xlnm._FilterDatabase" localSheetId="9" hidden="1">ÍNDICES!$B$1:$I$25</definedName>
    <definedName name="_Order1" hidden="1">255</definedName>
    <definedName name="_Order2" hidden="1">0</definedName>
    <definedName name="_OUT98" localSheetId="7" hidden="1">{#N/A,#N/A,TRUE,"Serviços"}</definedName>
    <definedName name="_OUT98" localSheetId="6" hidden="1">{#N/A,#N/A,TRUE,"Serviços"}</definedName>
    <definedName name="_OUT98" localSheetId="9" hidden="1">{#N/A,#N/A,TRUE,"Serviços"}</definedName>
    <definedName name="_OUT98" localSheetId="8" hidden="1">{#N/A,#N/A,TRUE,"Serviços"}</definedName>
    <definedName name="_OUT98" hidden="1">{#N/A,#N/A,TRUE,"Serviços"}</definedName>
    <definedName name="_OUTTTT9888" localSheetId="7" hidden="1">{#N/A,#N/A,TRUE,"Serviços"}</definedName>
    <definedName name="_OUTTTT9888" localSheetId="6" hidden="1">{#N/A,#N/A,TRUE,"Serviços"}</definedName>
    <definedName name="_OUTTTT9888" localSheetId="9" hidden="1">{#N/A,#N/A,TRUE,"Serviços"}</definedName>
    <definedName name="_OUTTTT9888" localSheetId="8" hidden="1">{#N/A,#N/A,TRUE,"Serviços"}</definedName>
    <definedName name="_OUTTTT9888" hidden="1">{#N/A,#N/A,TRUE,"Serviços"}</definedName>
    <definedName name="_Regression_Int" hidden="1">1</definedName>
    <definedName name="AAAAAAAAAAAAAAAAAAAAAA" localSheetId="7" hidden="1">{#N/A,#N/A,TRUE,"Serviços"}</definedName>
    <definedName name="AAAAAAAAAAAAAAAAAAAAAA" localSheetId="6" hidden="1">{#N/A,#N/A,TRUE,"Serviços"}</definedName>
    <definedName name="AAAAAAAAAAAAAAAAAAAAAA" localSheetId="9" hidden="1">{#N/A,#N/A,TRUE,"Serviços"}</definedName>
    <definedName name="AAAAAAAAAAAAAAAAAAAAAA" localSheetId="8" hidden="1">{#N/A,#N/A,TRUE,"Serviços"}</definedName>
    <definedName name="AAAAAAAAAAAAAAAAAAAAAA" hidden="1">{#N/A,#N/A,TRUE,"Serviços"}</definedName>
    <definedName name="_xlnm.Print_Area" localSheetId="3">_ORÇAMENTO!$A$1:$I$34</definedName>
    <definedName name="_xlnm.Print_Area" localSheetId="2">_RESUMO!$A$1:$E$42</definedName>
    <definedName name="_xlnm.Print_Area" localSheetId="5">BDI!$A$1:$K$63</definedName>
    <definedName name="_xlnm.Print_Area" localSheetId="0">CAPA!$A$2:$K$52</definedName>
    <definedName name="_xlnm.Print_Area" localSheetId="7">Cotações!$A$1:$L$22</definedName>
    <definedName name="_xlnm.Print_Area" localSheetId="4">FIT!$A$1:$N$50</definedName>
    <definedName name="_xlnm.Print_Area" localSheetId="9">ÍNDICES!$A$1:$J$29</definedName>
    <definedName name="_xlnm.Print_Area" localSheetId="1">MAPA!$A$1:$J$88</definedName>
    <definedName name="_xlnm.Print_Area" localSheetId="8">'Mat Betuminosos'!$A$1:$P$46</definedName>
    <definedName name="ASDF" localSheetId="7" hidden="1">{#N/A,#N/A,TRUE,"Serviços"}</definedName>
    <definedName name="ASDF" localSheetId="6" hidden="1">{#N/A,#N/A,TRUE,"Serviços"}</definedName>
    <definedName name="ASDF" localSheetId="9" hidden="1">{#N/A,#N/A,TRUE,"Serviços"}</definedName>
    <definedName name="ASDF" localSheetId="8" hidden="1">{#N/A,#N/A,TRUE,"Serviços"}</definedName>
    <definedName name="ASDF" hidden="1">{#N/A,#N/A,TRUE,"Serviços"}</definedName>
    <definedName name="ASDFG" localSheetId="7" hidden="1">{#N/A,#N/A,TRUE,"Serviços"}</definedName>
    <definedName name="ASDFG" localSheetId="6" hidden="1">{#N/A,#N/A,TRUE,"Serviços"}</definedName>
    <definedName name="ASDFG" localSheetId="9" hidden="1">{#N/A,#N/A,TRUE,"Serviços"}</definedName>
    <definedName name="ASDFG" localSheetId="8" hidden="1">{#N/A,#N/A,TRUE,"Serviços"}</definedName>
    <definedName name="ASDFG" hidden="1">{#N/A,#N/A,TRUE,"Serviços"}</definedName>
    <definedName name="ASFGG" localSheetId="7" hidden="1">{#N/A,#N/A,TRUE,"Serviços"}</definedName>
    <definedName name="ASFGG" localSheetId="6" hidden="1">{#N/A,#N/A,TRUE,"Serviços"}</definedName>
    <definedName name="ASFGG" localSheetId="9" hidden="1">{#N/A,#N/A,TRUE,"Serviços"}</definedName>
    <definedName name="ASFGG" localSheetId="8" hidden="1">{#N/A,#N/A,TRUE,"Serviços"}</definedName>
    <definedName name="ASFGG" hidden="1">{#N/A,#N/A,TRUE,"Serviços"}</definedName>
    <definedName name="asss" localSheetId="7" hidden="1">{#N/A,#N/A,TRUE,"Serviços"}</definedName>
    <definedName name="asss" localSheetId="6" hidden="1">{#N/A,#N/A,TRUE,"Serviços"}</definedName>
    <definedName name="asss" localSheetId="9" hidden="1">{#N/A,#N/A,TRUE,"Serviços"}</definedName>
    <definedName name="asss" localSheetId="8" hidden="1">{#N/A,#N/A,TRUE,"Serviços"}</definedName>
    <definedName name="asss" hidden="1">{#N/A,#N/A,TRUE,"Serviços"}</definedName>
    <definedName name="Bloco" localSheetId="7" hidden="1">#REF!</definedName>
    <definedName name="Bloco" localSheetId="6" hidden="1">#REF!</definedName>
    <definedName name="Bloco" localSheetId="4" hidden="1">#REF!</definedName>
    <definedName name="Bloco" localSheetId="9" hidden="1">#REF!</definedName>
    <definedName name="Bloco" localSheetId="8" hidden="1">#REF!</definedName>
    <definedName name="Bloco" hidden="1">#REF!</definedName>
    <definedName name="Bloco2" localSheetId="7" hidden="1">#REF!</definedName>
    <definedName name="Bloco2" localSheetId="6" hidden="1">#REF!</definedName>
    <definedName name="Bloco2" localSheetId="4" hidden="1">#REF!</definedName>
    <definedName name="Bloco2" localSheetId="9" hidden="1">#REF!</definedName>
    <definedName name="Bloco2" localSheetId="8" hidden="1">#REF!</definedName>
    <definedName name="Bloco2" hidden="1">#REF!</definedName>
    <definedName name="CadIns" localSheetId="7" hidden="1">#REF!</definedName>
    <definedName name="CadIns" localSheetId="6" hidden="1">#REF!</definedName>
    <definedName name="CadIns" localSheetId="4" hidden="1">#REF!</definedName>
    <definedName name="CadIns" localSheetId="9" hidden="1">#REF!</definedName>
    <definedName name="CadIns" localSheetId="8" hidden="1">#REF!</definedName>
    <definedName name="CadIns" hidden="1">#REF!</definedName>
    <definedName name="CadSrv" localSheetId="7" hidden="1">#REF!</definedName>
    <definedName name="CadSrv" localSheetId="6" hidden="1">#REF!</definedName>
    <definedName name="CadSrv" localSheetId="4" hidden="1">#REF!</definedName>
    <definedName name="CadSrv" localSheetId="9" hidden="1">#REF!</definedName>
    <definedName name="CadSrv" localSheetId="8" hidden="1">#REF!</definedName>
    <definedName name="CadSrv" hidden="1">#REF!</definedName>
    <definedName name="CAPA" localSheetId="7" hidden="1">{#N/A,#N/A,TRUE,"Serviços"}</definedName>
    <definedName name="CAPA" localSheetId="6" hidden="1">{#N/A,#N/A,TRUE,"Serviços"}</definedName>
    <definedName name="CAPA" localSheetId="9" hidden="1">{#N/A,#N/A,TRUE,"Serviços"}</definedName>
    <definedName name="CAPA" localSheetId="8" hidden="1">{#N/A,#N/A,TRUE,"Serviços"}</definedName>
    <definedName name="CAPA" hidden="1">{#N/A,#N/A,TRUE,"Serviços"}</definedName>
    <definedName name="capa1" localSheetId="7" hidden="1">{#N/A,#N/A,TRUE,"Serviços"}</definedName>
    <definedName name="capa1" localSheetId="6" hidden="1">{#N/A,#N/A,TRUE,"Serviços"}</definedName>
    <definedName name="capa1" localSheetId="9" hidden="1">{#N/A,#N/A,TRUE,"Serviços"}</definedName>
    <definedName name="capa1" localSheetId="8" hidden="1">{#N/A,#N/A,TRUE,"Serviços"}</definedName>
    <definedName name="capa1" hidden="1">{#N/A,#N/A,TRUE,"Serviços"}</definedName>
    <definedName name="capa11" localSheetId="7" hidden="1">{#N/A,#N/A,TRUE,"Serviços"}</definedName>
    <definedName name="capa11" localSheetId="6" hidden="1">{#N/A,#N/A,TRUE,"Serviços"}</definedName>
    <definedName name="capa11" localSheetId="9" hidden="1">{#N/A,#N/A,TRUE,"Serviços"}</definedName>
    <definedName name="capa11" localSheetId="8" hidden="1">{#N/A,#N/A,TRUE,"Serviços"}</definedName>
    <definedName name="capa11" hidden="1">{#N/A,#N/A,TRUE,"Serviços"}</definedName>
    <definedName name="capa22" localSheetId="7" hidden="1">{#N/A,#N/A,TRUE,"Serviços"}</definedName>
    <definedName name="capa22" localSheetId="6" hidden="1">{#N/A,#N/A,TRUE,"Serviços"}</definedName>
    <definedName name="capa22" localSheetId="9" hidden="1">{#N/A,#N/A,TRUE,"Serviços"}</definedName>
    <definedName name="capa22" localSheetId="8" hidden="1">{#N/A,#N/A,TRUE,"Serviços"}</definedName>
    <definedName name="capa22" hidden="1">{#N/A,#N/A,TRUE,"Serviços"}</definedName>
    <definedName name="CAPAA" localSheetId="7" hidden="1">{#N/A,#N/A,TRUE,"Serviços"}</definedName>
    <definedName name="CAPAA" localSheetId="6" hidden="1">{#N/A,#N/A,TRUE,"Serviços"}</definedName>
    <definedName name="CAPAA" localSheetId="9" hidden="1">{#N/A,#N/A,TRUE,"Serviços"}</definedName>
    <definedName name="CAPAA" localSheetId="8" hidden="1">{#N/A,#N/A,TRUE,"Serviços"}</definedName>
    <definedName name="CAPAA" hidden="1">{#N/A,#N/A,TRUE,"Serviços"}</definedName>
    <definedName name="cch" hidden="1">#N/A</definedName>
    <definedName name="CdQtEqA" hidden="1">2</definedName>
    <definedName name="CdQtEqP" hidden="1">2</definedName>
    <definedName name="CdQtMoA" hidden="1">2</definedName>
    <definedName name="CdQtMoP" hidden="1">2</definedName>
    <definedName name="CdQtMpA" hidden="1">5</definedName>
    <definedName name="CdQtMpP" hidden="1">5</definedName>
    <definedName name="CdQtTrA" hidden="1">2</definedName>
    <definedName name="CdQtTrP" hidden="1">2</definedName>
    <definedName name="Chave" localSheetId="7" hidden="1">#REF!</definedName>
    <definedName name="Chave" localSheetId="6" hidden="1">#REF!</definedName>
    <definedName name="Chave" localSheetId="4" hidden="1">#REF!</definedName>
    <definedName name="Chave" localSheetId="9" hidden="1">#REF!</definedName>
    <definedName name="Chave" localSheetId="8" hidden="1">#REF!</definedName>
    <definedName name="Chave" hidden="1">#REF!</definedName>
    <definedName name="Chave1" localSheetId="7" hidden="1">#REF!</definedName>
    <definedName name="Chave1" localSheetId="6" hidden="1">#REF!</definedName>
    <definedName name="Chave1" localSheetId="4" hidden="1">#REF!</definedName>
    <definedName name="Chave1" localSheetId="9" hidden="1">#REF!</definedName>
    <definedName name="Chave1" localSheetId="8" hidden="1">#REF!</definedName>
    <definedName name="Chave1" hidden="1">#REF!</definedName>
    <definedName name="Clas" localSheetId="7" hidden="1">MAX(LEN(#REF!))</definedName>
    <definedName name="Clas" localSheetId="6" hidden="1">MAX(LEN(#REF!))</definedName>
    <definedName name="Clas" localSheetId="4" hidden="1">MAX(LEN(#REF!))</definedName>
    <definedName name="Clas" localSheetId="9" hidden="1">MAX(LEN(#REF!))</definedName>
    <definedName name="Clas" localSheetId="8" hidden="1">MAX(LEN(#REF!))</definedName>
    <definedName name="Clas" hidden="1">MAX(LEN(#REF!))</definedName>
    <definedName name="Cliente" hidden="1">""</definedName>
    <definedName name="Cls" hidden="1">#N/A</definedName>
    <definedName name="Coluna" localSheetId="7" hidden="1">#REF!</definedName>
    <definedName name="Coluna" localSheetId="6" hidden="1">#REF!</definedName>
    <definedName name="Coluna" localSheetId="4" hidden="1">#REF!</definedName>
    <definedName name="Coluna" localSheetId="9" hidden="1">#REF!</definedName>
    <definedName name="Coluna" localSheetId="8" hidden="1">#REF!</definedName>
    <definedName name="Coluna" hidden="1">#REF!</definedName>
    <definedName name="Comp" localSheetId="7" hidden="1">#REF!</definedName>
    <definedName name="Comp" localSheetId="6" hidden="1">#REF!</definedName>
    <definedName name="Comp" localSheetId="4" hidden="1">#REF!</definedName>
    <definedName name="Comp" localSheetId="9" hidden="1">#REF!</definedName>
    <definedName name="Comp" localSheetId="8" hidden="1">#REF!</definedName>
    <definedName name="Comp" hidden="1">#REF!</definedName>
    <definedName name="CpuAux" localSheetId="7" hidden="1">#REF!</definedName>
    <definedName name="CpuAux" localSheetId="6" hidden="1">#REF!</definedName>
    <definedName name="CpuAux" localSheetId="4" hidden="1">#REF!</definedName>
    <definedName name="CpuAux" localSheetId="9" hidden="1">#REF!</definedName>
    <definedName name="CpuAux" localSheetId="8" hidden="1">#REF!</definedName>
    <definedName name="CpuAux" hidden="1">#REF!</definedName>
    <definedName name="CPUs" localSheetId="7" hidden="1">#REF!</definedName>
    <definedName name="CPUs" localSheetId="6" hidden="1">#REF!</definedName>
    <definedName name="CPUs" localSheetId="4" hidden="1">#REF!</definedName>
    <definedName name="CPUs" localSheetId="9" hidden="1">#REF!</definedName>
    <definedName name="CPUs" localSheetId="8" hidden="1">#REF!</definedName>
    <definedName name="CPUs" hidden="1">#REF!</definedName>
    <definedName name="CRIT" localSheetId="7" hidden="1">#REF!</definedName>
    <definedName name="CRIT" localSheetId="6" hidden="1">#REF!</definedName>
    <definedName name="CRIT" localSheetId="4" hidden="1">#REF!</definedName>
    <definedName name="CRIT" localSheetId="9" hidden="1">#REF!</definedName>
    <definedName name="CRIT" localSheetId="8" hidden="1">#REF!</definedName>
    <definedName name="CRIT" hidden="1">#REF!</definedName>
    <definedName name="CunEq" localSheetId="7" hidden="1">SUM(IF(#REF! =#REF!,(#REF!)*(#REF!="EQ")))</definedName>
    <definedName name="CunEq" localSheetId="6" hidden="1">SUM(IF(#REF! =#REF!,(#REF!)*(#REF!="EQ")))</definedName>
    <definedName name="CunEq" localSheetId="4" hidden="1">SUM(IF(#REF! =#REF!,(#REF!)*(#REF!="EQ")))</definedName>
    <definedName name="CunEq" localSheetId="9" hidden="1">SUM(IF(#REF! =#REF!,(#REF!)*(#REF!="EQ")))</definedName>
    <definedName name="CunEq" localSheetId="8" hidden="1">SUM(IF(#REF! =#REF!,(#REF!)*(#REF!="EQ")))</definedName>
    <definedName name="CunEq" hidden="1">SUM(IF(#REF! =#REF!,(#REF!)*(#REF!="EQ")))</definedName>
    <definedName name="CunMo" localSheetId="7" hidden="1">SUM(IF(#REF! =#REF!,(#REF!)*(#REF!="MO")))</definedName>
    <definedName name="CunMo" localSheetId="6" hidden="1">SUM(IF(#REF! =#REF!,(#REF!)*(#REF!="MO")))</definedName>
    <definedName name="CunMo" localSheetId="4" hidden="1">SUM(IF(#REF! =#REF!,(#REF!)*(#REF!="MO")))</definedName>
    <definedName name="CunMo" localSheetId="9" hidden="1">SUM(IF(#REF! =#REF!,(#REF!)*(#REF!="MO")))</definedName>
    <definedName name="CunMo" localSheetId="8" hidden="1">SUM(IF(#REF! =#REF!,(#REF!)*(#REF!="MO")))</definedName>
    <definedName name="CunMo" hidden="1">SUM(IF(#REF! =#REF!,(#REF!)*(#REF!="MO")))</definedName>
    <definedName name="CunMp" localSheetId="7" hidden="1">SUM(IF(#REF! =#REF!,(#REF!)*(#REF!="MP")))</definedName>
    <definedName name="CunMp" localSheetId="6" hidden="1">SUM(IF(#REF! =#REF!,(#REF!)*(#REF!="MP")))</definedName>
    <definedName name="CunMp" localSheetId="4" hidden="1">SUM(IF(#REF! =#REF!,(#REF!)*(#REF!="MP")))</definedName>
    <definedName name="CunMp" localSheetId="9" hidden="1">SUM(IF(#REF! =#REF!,(#REF!)*(#REF!="MP")))</definedName>
    <definedName name="CunMp" localSheetId="8" hidden="1">SUM(IF(#REF! =#REF!,(#REF!)*(#REF!="MP")))</definedName>
    <definedName name="CunMp" hidden="1">SUM(IF(#REF! =#REF!,(#REF!)*(#REF!="MP")))</definedName>
    <definedName name="DAER1" localSheetId="7" hidden="1">{#N/A,#N/A,TRUE,"Serviços"}</definedName>
    <definedName name="DAER1" localSheetId="6" hidden="1">{#N/A,#N/A,TRUE,"Serviços"}</definedName>
    <definedName name="DAER1" localSheetId="9" hidden="1">{#N/A,#N/A,TRUE,"Serviços"}</definedName>
    <definedName name="DAER1" localSheetId="8" hidden="1">{#N/A,#N/A,TRUE,"Serviços"}</definedName>
    <definedName name="DAER1" hidden="1">{#N/A,#N/A,TRUE,"Serviços"}</definedName>
    <definedName name="DAER11" localSheetId="7" hidden="1">{#N/A,#N/A,TRUE,"Serviços"}</definedName>
    <definedName name="DAER11" localSheetId="6" hidden="1">{#N/A,#N/A,TRUE,"Serviços"}</definedName>
    <definedName name="DAER11" localSheetId="9" hidden="1">{#N/A,#N/A,TRUE,"Serviços"}</definedName>
    <definedName name="DAER11" localSheetId="8" hidden="1">{#N/A,#N/A,TRUE,"Serviços"}</definedName>
    <definedName name="DAER11" hidden="1">{#N/A,#N/A,TRUE,"Serviços"}</definedName>
    <definedName name="DescAux" hidden="1">#N/A</definedName>
    <definedName name="dfgs" localSheetId="7" hidden="1">{#N/A,#N/A,TRUE,"Serviços"}</definedName>
    <definedName name="dfgs" localSheetId="6" hidden="1">{#N/A,#N/A,TRUE,"Serviços"}</definedName>
    <definedName name="dfgs" localSheetId="9" hidden="1">{#N/A,#N/A,TRUE,"Serviços"}</definedName>
    <definedName name="dfgs" localSheetId="8" hidden="1">{#N/A,#N/A,TRUE,"Serviços"}</definedName>
    <definedName name="dfgs" hidden="1">{#N/A,#N/A,TRUE,"Serviços"}</definedName>
    <definedName name="dfgss" localSheetId="7" hidden="1">{#N/A,#N/A,TRUE,"Serviços"}</definedName>
    <definedName name="dfgss" localSheetId="6" hidden="1">{#N/A,#N/A,TRUE,"Serviços"}</definedName>
    <definedName name="dfgss" localSheetId="9" hidden="1">{#N/A,#N/A,TRUE,"Serviços"}</definedName>
    <definedName name="dfgss" localSheetId="8" hidden="1">{#N/A,#N/A,TRUE,"Serviços"}</definedName>
    <definedName name="dfgss" hidden="1">{#N/A,#N/A,TRUE,"Serviços"}</definedName>
    <definedName name="EmpAux" hidden="1">""</definedName>
    <definedName name="EQ" localSheetId="7" hidden="1">#REF!</definedName>
    <definedName name="EQ" localSheetId="6" hidden="1">#REF!</definedName>
    <definedName name="EQ" localSheetId="4" hidden="1">#REF!</definedName>
    <definedName name="EQ" localSheetId="9" hidden="1">#REF!</definedName>
    <definedName name="EQ" localSheetId="8" hidden="1">#REF!</definedName>
    <definedName name="EQ" hidden="1">#REF!</definedName>
    <definedName name="FATURAS2002" localSheetId="7" hidden="1">{#N/A,#N/A,TRUE,"Serviços"}</definedName>
    <definedName name="FATURAS2002" localSheetId="6" hidden="1">{#N/A,#N/A,TRUE,"Serviços"}</definedName>
    <definedName name="FATURAS2002" localSheetId="9" hidden="1">{#N/A,#N/A,TRUE,"Serviços"}</definedName>
    <definedName name="FATURAS2002" localSheetId="8" hidden="1">{#N/A,#N/A,TRUE,"Serviços"}</definedName>
    <definedName name="FATURAS2002" hidden="1">{#N/A,#N/A,TRUE,"Serviços"}</definedName>
    <definedName name="FATURAS20022" localSheetId="7" hidden="1">{#N/A,#N/A,TRUE,"Serviços"}</definedName>
    <definedName name="FATURAS20022" localSheetId="6" hidden="1">{#N/A,#N/A,TRUE,"Serviços"}</definedName>
    <definedName name="FATURAS20022" localSheetId="9" hidden="1">{#N/A,#N/A,TRUE,"Serviços"}</definedName>
    <definedName name="FATURAS20022" localSheetId="8" hidden="1">{#N/A,#N/A,TRUE,"Serviços"}</definedName>
    <definedName name="FATURAS20022" hidden="1">{#N/A,#N/A,TRUE,"Serviços"}</definedName>
    <definedName name="FOLHA01" localSheetId="7" hidden="1">{#N/A,#N/A,TRUE,"Serviços"}</definedName>
    <definedName name="FOLHA01" localSheetId="6" hidden="1">{#N/A,#N/A,TRUE,"Serviços"}</definedName>
    <definedName name="FOLHA01" localSheetId="9" hidden="1">{#N/A,#N/A,TRUE,"Serviços"}</definedName>
    <definedName name="FOLHA01" localSheetId="8" hidden="1">{#N/A,#N/A,TRUE,"Serviços"}</definedName>
    <definedName name="FOLHA01" hidden="1">{#N/A,#N/A,TRUE,"Serviços"}</definedName>
    <definedName name="FOLHA011" localSheetId="7" hidden="1">{#N/A,#N/A,TRUE,"Serviços"}</definedName>
    <definedName name="FOLHA011" localSheetId="6" hidden="1">{#N/A,#N/A,TRUE,"Serviços"}</definedName>
    <definedName name="FOLHA011" localSheetId="9" hidden="1">{#N/A,#N/A,TRUE,"Serviços"}</definedName>
    <definedName name="FOLHA011" localSheetId="8" hidden="1">{#N/A,#N/A,TRUE,"Serviços"}</definedName>
    <definedName name="FOLHA011" hidden="1">{#N/A,#N/A,TRUE,"Serviços"}</definedName>
    <definedName name="folha1" localSheetId="7" hidden="1">{#N/A,#N/A,TRUE,"Serviços"}</definedName>
    <definedName name="folha1" localSheetId="6" hidden="1">{#N/A,#N/A,TRUE,"Serviços"}</definedName>
    <definedName name="folha1" localSheetId="9" hidden="1">{#N/A,#N/A,TRUE,"Serviços"}</definedName>
    <definedName name="folha1" localSheetId="8" hidden="1">{#N/A,#N/A,TRUE,"Serviços"}</definedName>
    <definedName name="folha1" hidden="1">{#N/A,#N/A,TRUE,"Serviços"}</definedName>
    <definedName name="folha11" localSheetId="7" hidden="1">{#N/A,#N/A,TRUE,"Serviços"}</definedName>
    <definedName name="folha11" localSheetId="6" hidden="1">{#N/A,#N/A,TRUE,"Serviços"}</definedName>
    <definedName name="folha11" localSheetId="9" hidden="1">{#N/A,#N/A,TRUE,"Serviços"}</definedName>
    <definedName name="folha11" localSheetId="8" hidden="1">{#N/A,#N/A,TRUE,"Serviços"}</definedName>
    <definedName name="folha11" hidden="1">{#N/A,#N/A,TRUE,"Serviços"}</definedName>
    <definedName name="Fresagem01" localSheetId="7" hidden="1">{#N/A,#N/A,TRUE,"Serviços"}</definedName>
    <definedName name="Fresagem01" localSheetId="6" hidden="1">{#N/A,#N/A,TRUE,"Serviços"}</definedName>
    <definedName name="Fresagem01" localSheetId="9" hidden="1">{#N/A,#N/A,TRUE,"Serviços"}</definedName>
    <definedName name="Fresagem01" localSheetId="8" hidden="1">{#N/A,#N/A,TRUE,"Serviços"}</definedName>
    <definedName name="Fresagem01" hidden="1">{#N/A,#N/A,TRUE,"Serviços"}</definedName>
    <definedName name="Fresagem011" localSheetId="7" hidden="1">{#N/A,#N/A,TRUE,"Serviços"}</definedName>
    <definedName name="Fresagem011" localSheetId="6" hidden="1">{#N/A,#N/A,TRUE,"Serviços"}</definedName>
    <definedName name="Fresagem011" localSheetId="9" hidden="1">{#N/A,#N/A,TRUE,"Serviços"}</definedName>
    <definedName name="Fresagem011" localSheetId="8" hidden="1">{#N/A,#N/A,TRUE,"Serviços"}</definedName>
    <definedName name="Fresagem011" hidden="1">{#N/A,#N/A,TRUE,"Serviços"}</definedName>
    <definedName name="gtryfj" localSheetId="7" hidden="1">{#N/A,#N/A,TRUE,"Serviços"}</definedName>
    <definedName name="gtryfj" localSheetId="6" hidden="1">{#N/A,#N/A,TRUE,"Serviços"}</definedName>
    <definedName name="gtryfj" localSheetId="9" hidden="1">{#N/A,#N/A,TRUE,"Serviços"}</definedName>
    <definedName name="gtryfj" localSheetId="8" hidden="1">{#N/A,#N/A,TRUE,"Serviços"}</definedName>
    <definedName name="gtryfj" hidden="1">{#N/A,#N/A,TRUE,"Serviços"}</definedName>
    <definedName name="gtryfjj" localSheetId="7" hidden="1">{#N/A,#N/A,TRUE,"Serviços"}</definedName>
    <definedName name="gtryfjj" localSheetId="6" hidden="1">{#N/A,#N/A,TRUE,"Serviços"}</definedName>
    <definedName name="gtryfjj" localSheetId="9" hidden="1">{#N/A,#N/A,TRUE,"Serviços"}</definedName>
    <definedName name="gtryfjj" localSheetId="8" hidden="1">{#N/A,#N/A,TRUE,"Serviços"}</definedName>
    <definedName name="gtryfjj" hidden="1">{#N/A,#N/A,TRUE,"Serviços"}</definedName>
    <definedName name="Insumos" localSheetId="7" hidden="1">#REF!</definedName>
    <definedName name="Insumos" localSheetId="6" hidden="1">#REF!</definedName>
    <definedName name="Insumos" localSheetId="4" hidden="1">#REF!</definedName>
    <definedName name="Insumos" localSheetId="9" hidden="1">#REF!</definedName>
    <definedName name="Insumos" localSheetId="8" hidden="1">#REF!</definedName>
    <definedName name="Insumos" hidden="1">#REF!</definedName>
    <definedName name="Itens" localSheetId="7" hidden="1">#REF!</definedName>
    <definedName name="Itens" localSheetId="6" hidden="1">#REF!</definedName>
    <definedName name="Itens" localSheetId="4" hidden="1">#REF!</definedName>
    <definedName name="Itens" localSheetId="9" hidden="1">#REF!</definedName>
    <definedName name="Itens" localSheetId="8" hidden="1">#REF!</definedName>
    <definedName name="Itens" hidden="1">#REF!</definedName>
    <definedName name="JANEIRO2003" localSheetId="7" hidden="1">{#N/A,#N/A,TRUE,"Serviços"}</definedName>
    <definedName name="JANEIRO2003" localSheetId="6" hidden="1">{#N/A,#N/A,TRUE,"Serviços"}</definedName>
    <definedName name="JANEIRO2003" localSheetId="9" hidden="1">{#N/A,#N/A,TRUE,"Serviços"}</definedName>
    <definedName name="JANEIRO2003" localSheetId="8" hidden="1">{#N/A,#N/A,TRUE,"Serviços"}</definedName>
    <definedName name="JANEIRO2003" hidden="1">{#N/A,#N/A,TRUE,"Serviços"}</definedName>
    <definedName name="JANEIRO20033" localSheetId="7" hidden="1">{#N/A,#N/A,TRUE,"Serviços"}</definedName>
    <definedName name="JANEIRO20033" localSheetId="6" hidden="1">{#N/A,#N/A,TRUE,"Serviços"}</definedName>
    <definedName name="JANEIRO20033" localSheetId="9" hidden="1">{#N/A,#N/A,TRUE,"Serviços"}</definedName>
    <definedName name="JANEIRO20033" localSheetId="8" hidden="1">{#N/A,#N/A,TRUE,"Serviços"}</definedName>
    <definedName name="JANEIRO20033" hidden="1">{#N/A,#N/A,TRUE,"Serviços"}</definedName>
    <definedName name="lab" localSheetId="7" hidden="1">{#N/A,#N/A,TRUE,"Serviços"}</definedName>
    <definedName name="lab" localSheetId="6" hidden="1">{#N/A,#N/A,TRUE,"Serviços"}</definedName>
    <definedName name="lab" localSheetId="9" hidden="1">{#N/A,#N/A,TRUE,"Serviços"}</definedName>
    <definedName name="lab" localSheetId="8" hidden="1">{#N/A,#N/A,TRUE,"Serviços"}</definedName>
    <definedName name="lab" hidden="1">{#N/A,#N/A,TRUE,"Serviços"}</definedName>
    <definedName name="labb" localSheetId="7" hidden="1">{#N/A,#N/A,TRUE,"Serviços"}</definedName>
    <definedName name="labb" localSheetId="6" hidden="1">{#N/A,#N/A,TRUE,"Serviços"}</definedName>
    <definedName name="labb" localSheetId="9" hidden="1">{#N/A,#N/A,TRUE,"Serviços"}</definedName>
    <definedName name="labb" localSheetId="8" hidden="1">{#N/A,#N/A,TRUE,"Serviços"}</definedName>
    <definedName name="labb" hidden="1">{#N/A,#N/A,TRUE,"Serviços"}</definedName>
    <definedName name="maio19" localSheetId="7" hidden="1">{#N/A,#N/A,TRUE,"Serviços"}</definedName>
    <definedName name="maio19" localSheetId="6" hidden="1">{#N/A,#N/A,TRUE,"Serviços"}</definedName>
    <definedName name="maio19" localSheetId="9" hidden="1">{#N/A,#N/A,TRUE,"Serviços"}</definedName>
    <definedName name="maio19" localSheetId="8" hidden="1">{#N/A,#N/A,TRUE,"Serviços"}</definedName>
    <definedName name="maio19" hidden="1">{#N/A,#N/A,TRUE,"Serviços"}</definedName>
    <definedName name="Max" localSheetId="7" hidden="1">COUNTIF(#REF!,"&lt;&gt;0")+3</definedName>
    <definedName name="Max" localSheetId="4" hidden="1">COUNTIF(#REF!,"&lt;&gt;0")+3</definedName>
    <definedName name="Max" hidden="1">COUNTIF(#REF!,"&lt;&gt;0")+3</definedName>
    <definedName name="MO" localSheetId="7" hidden="1">#REF!</definedName>
    <definedName name="MO" localSheetId="6" hidden="1">#REF!</definedName>
    <definedName name="MO" localSheetId="4" hidden="1">#REF!</definedName>
    <definedName name="MO" localSheetId="9" hidden="1">#REF!</definedName>
    <definedName name="MO" localSheetId="8" hidden="1">#REF!</definedName>
    <definedName name="MO" hidden="1">#REF!</definedName>
    <definedName name="NLEq" hidden="1">4</definedName>
    <definedName name="NLMo" hidden="1">6</definedName>
    <definedName name="NLMp" hidden="1">5</definedName>
    <definedName name="NLTr" hidden="1">3</definedName>
    <definedName name="Obra" hidden="1">""</definedName>
    <definedName name="OnOff" hidden="1">"ON"</definedName>
    <definedName name="orçamrest" localSheetId="7" hidden="1">{#N/A,#N/A,TRUE,"Serviços"}</definedName>
    <definedName name="orçamrest" localSheetId="6" hidden="1">{#N/A,#N/A,TRUE,"Serviços"}</definedName>
    <definedName name="orçamrest" localSheetId="9" hidden="1">{#N/A,#N/A,TRUE,"Serviços"}</definedName>
    <definedName name="orçamrest" localSheetId="8" hidden="1">{#N/A,#N/A,TRUE,"Serviços"}</definedName>
    <definedName name="orçamrest" hidden="1">{#N/A,#N/A,TRUE,"Serviços"}</definedName>
    <definedName name="orçamrestt" localSheetId="7" hidden="1">{#N/A,#N/A,TRUE,"Serviços"}</definedName>
    <definedName name="orçamrestt" localSheetId="6" hidden="1">{#N/A,#N/A,TRUE,"Serviços"}</definedName>
    <definedName name="orçamrestt" localSheetId="9" hidden="1">{#N/A,#N/A,TRUE,"Serviços"}</definedName>
    <definedName name="orçamrestt" localSheetId="8" hidden="1">{#N/A,#N/A,TRUE,"Serviços"}</definedName>
    <definedName name="orçamrestt" hidden="1">{#N/A,#N/A,TRUE,"Serviços"}</definedName>
    <definedName name="Ordem" localSheetId="7" hidden="1">#REF!</definedName>
    <definedName name="Ordem" localSheetId="6" hidden="1">#REF!</definedName>
    <definedName name="Ordem" localSheetId="4" hidden="1">#REF!</definedName>
    <definedName name="Ordem" localSheetId="9" hidden="1">#REF!</definedName>
    <definedName name="Ordem" localSheetId="8" hidden="1">#REF!</definedName>
    <definedName name="Ordem" hidden="1">#REF!</definedName>
    <definedName name="Origem" localSheetId="7" hidden="1">#REF!</definedName>
    <definedName name="Origem" localSheetId="6" hidden="1">#REF!</definedName>
    <definedName name="Origem" localSheetId="4" hidden="1">#REF!</definedName>
    <definedName name="Origem" localSheetId="9" hidden="1">#REF!</definedName>
    <definedName name="Origem" localSheetId="8" hidden="1">#REF!</definedName>
    <definedName name="Origem" hidden="1">#REF!</definedName>
    <definedName name="Plan1" localSheetId="7" hidden="1">#REF!</definedName>
    <definedName name="Plan1" localSheetId="6" hidden="1">#REF!</definedName>
    <definedName name="Plan1" localSheetId="4" hidden="1">#REF!</definedName>
    <definedName name="Plan1" localSheetId="9" hidden="1">#REF!</definedName>
    <definedName name="Plan1" localSheetId="8" hidden="1">#REF!</definedName>
    <definedName name="Plan1" hidden="1">#REF!</definedName>
    <definedName name="Posição" localSheetId="7" hidden="1">#REF!</definedName>
    <definedName name="Posição" localSheetId="6" hidden="1">#REF!</definedName>
    <definedName name="Posição" localSheetId="4" hidden="1">#REF!</definedName>
    <definedName name="Posição" localSheetId="9" hidden="1">#REF!</definedName>
    <definedName name="Posição" localSheetId="8" hidden="1">#REF!</definedName>
    <definedName name="Posição" hidden="1">#REF!</definedName>
    <definedName name="Prd" hidden="1">#N/A</definedName>
    <definedName name="PrdAux" hidden="1">#N/A</definedName>
    <definedName name="PROD_1" localSheetId="7" hidden="1">{#N/A,#N/A,TRUE,"Serviços"}</definedName>
    <definedName name="PROD_1" localSheetId="6" hidden="1">{#N/A,#N/A,TRUE,"Serviços"}</definedName>
    <definedName name="PROD_1" localSheetId="9" hidden="1">{#N/A,#N/A,TRUE,"Serviços"}</definedName>
    <definedName name="PROD_1" localSheetId="8" hidden="1">{#N/A,#N/A,TRUE,"Serviços"}</definedName>
    <definedName name="PROD_1" hidden="1">{#N/A,#N/A,TRUE,"Serviços"}</definedName>
    <definedName name="PROD_11" localSheetId="7" hidden="1">{#N/A,#N/A,TRUE,"Serviços"}</definedName>
    <definedName name="PROD_11" localSheetId="6" hidden="1">{#N/A,#N/A,TRUE,"Serviços"}</definedName>
    <definedName name="PROD_11" localSheetId="9" hidden="1">{#N/A,#N/A,TRUE,"Serviços"}</definedName>
    <definedName name="PROD_11" localSheetId="8" hidden="1">{#N/A,#N/A,TRUE,"Serviços"}</definedName>
    <definedName name="PROD_11" hidden="1">{#N/A,#N/A,TRUE,"Serviços"}</definedName>
    <definedName name="QD" localSheetId="7" hidden="1">#REF!</definedName>
    <definedName name="QD" localSheetId="6" hidden="1">#REF!</definedName>
    <definedName name="QD" localSheetId="4" hidden="1">#REF!</definedName>
    <definedName name="QD" localSheetId="9" hidden="1">#REF!</definedName>
    <definedName name="QD" localSheetId="8" hidden="1">#REF!</definedName>
    <definedName name="QD" hidden="1">#REF!</definedName>
    <definedName name="QTD" localSheetId="7" hidden="1">#REF!</definedName>
    <definedName name="QTD" localSheetId="6" hidden="1">#REF!</definedName>
    <definedName name="QTD" localSheetId="4" hidden="1">#REF!</definedName>
    <definedName name="QTD" localSheetId="9" hidden="1">#REF!</definedName>
    <definedName name="QTD" localSheetId="8" hidden="1">#REF!</definedName>
    <definedName name="QTD" hidden="1">#REF!</definedName>
    <definedName name="QtEq" localSheetId="7" hidden="1">#REF!</definedName>
    <definedName name="QtEq" localSheetId="6" hidden="1">#REF!</definedName>
    <definedName name="QtEq" localSheetId="4" hidden="1">#REF!</definedName>
    <definedName name="QtEq" localSheetId="9" hidden="1">#REF!</definedName>
    <definedName name="QtEq" localSheetId="8" hidden="1">#REF!</definedName>
    <definedName name="QtEq" hidden="1">#REF!</definedName>
    <definedName name="QtMo" localSheetId="7" hidden="1">#REF!</definedName>
    <definedName name="QtMo" localSheetId="6" hidden="1">#REF!</definedName>
    <definedName name="QtMo" localSheetId="4" hidden="1">#REF!</definedName>
    <definedName name="QtMo" localSheetId="9" hidden="1">#REF!</definedName>
    <definedName name="QtMo" localSheetId="8" hidden="1">#REF!</definedName>
    <definedName name="QtMo" hidden="1">#REF!</definedName>
    <definedName name="QtMp" localSheetId="7" hidden="1">#REF!</definedName>
    <definedName name="QtMp" localSheetId="6" hidden="1">#REF!</definedName>
    <definedName name="QtMp" localSheetId="4" hidden="1">#REF!</definedName>
    <definedName name="QtMp" localSheetId="9" hidden="1">#REF!</definedName>
    <definedName name="QtMp" localSheetId="8" hidden="1">#REF!</definedName>
    <definedName name="QtMp" hidden="1">#REF!</definedName>
    <definedName name="QtTr" localSheetId="7" hidden="1">#REF!</definedName>
    <definedName name="QtTr" localSheetId="6" hidden="1">#REF!</definedName>
    <definedName name="QtTr" localSheetId="4" hidden="1">#REF!</definedName>
    <definedName name="QtTr" localSheetId="9" hidden="1">#REF!</definedName>
    <definedName name="QtTr" localSheetId="8" hidden="1">#REF!</definedName>
    <definedName name="QtTr" hidden="1">#REF!</definedName>
    <definedName name="REL" localSheetId="7" hidden="1">{#N/A,#N/A,TRUE,"Serviços"}</definedName>
    <definedName name="REL" localSheetId="6" hidden="1">{#N/A,#N/A,TRUE,"Serviços"}</definedName>
    <definedName name="REL" localSheetId="9" hidden="1">{#N/A,#N/A,TRUE,"Serviços"}</definedName>
    <definedName name="REL" localSheetId="8" hidden="1">{#N/A,#N/A,TRUE,"Serviços"}</definedName>
    <definedName name="REL" hidden="1">{#N/A,#N/A,TRUE,"Serviços"}</definedName>
    <definedName name="Relat" localSheetId="7" hidden="1">#REF!</definedName>
    <definedName name="Relat" localSheetId="6" hidden="1">#REF!</definedName>
    <definedName name="Relat" localSheetId="4" hidden="1">#REF!</definedName>
    <definedName name="Relat" localSheetId="9" hidden="1">#REF!</definedName>
    <definedName name="Relat" localSheetId="8" hidden="1">#REF!</definedName>
    <definedName name="Relat" hidden="1">#REF!</definedName>
    <definedName name="RELL" localSheetId="7" hidden="1">{#N/A,#N/A,TRUE,"Serviços"}</definedName>
    <definedName name="RELL" localSheetId="6" hidden="1">{#N/A,#N/A,TRUE,"Serviços"}</definedName>
    <definedName name="RELL" localSheetId="9" hidden="1">{#N/A,#N/A,TRUE,"Serviços"}</definedName>
    <definedName name="RELL" localSheetId="8" hidden="1">{#N/A,#N/A,TRUE,"Serviços"}</definedName>
    <definedName name="RELL" hidden="1">{#N/A,#N/A,TRUE,"Serviços"}</definedName>
    <definedName name="rrff" localSheetId="7" hidden="1">{#N/A,#N/A,TRUE,"Serviços"}</definedName>
    <definedName name="rrff" localSheetId="6" hidden="1">{#N/A,#N/A,TRUE,"Serviços"}</definedName>
    <definedName name="rrff" localSheetId="9" hidden="1">{#N/A,#N/A,TRUE,"Serviços"}</definedName>
    <definedName name="rrff" localSheetId="8" hidden="1">{#N/A,#N/A,TRUE,"Serviços"}</definedName>
    <definedName name="rrff" hidden="1">{#N/A,#N/A,TRUE,"Serviços"}</definedName>
    <definedName name="rrfff" localSheetId="7" hidden="1">{#N/A,#N/A,TRUE,"Serviços"}</definedName>
    <definedName name="rrfff" localSheetId="6" hidden="1">{#N/A,#N/A,TRUE,"Serviços"}</definedName>
    <definedName name="rrfff" localSheetId="9" hidden="1">{#N/A,#N/A,TRUE,"Serviços"}</definedName>
    <definedName name="rrfff" localSheetId="8" hidden="1">{#N/A,#N/A,TRUE,"Serviços"}</definedName>
    <definedName name="rrfff" hidden="1">{#N/A,#N/A,TRUE,"Serviços"}</definedName>
    <definedName name="rrr" localSheetId="7" hidden="1">{#N/A,#N/A,TRUE,"Serviços"}</definedName>
    <definedName name="rrr" localSheetId="6" hidden="1">{#N/A,#N/A,TRUE,"Serviços"}</definedName>
    <definedName name="rrr" localSheetId="9" hidden="1">{#N/A,#N/A,TRUE,"Serviços"}</definedName>
    <definedName name="rrr" localSheetId="8" hidden="1">{#N/A,#N/A,TRUE,"Serviços"}</definedName>
    <definedName name="rrr" hidden="1">{#N/A,#N/A,TRUE,"Serviços"}</definedName>
    <definedName name="sasda" localSheetId="7" hidden="1">{#N/A,#N/A,TRUE,"Serviços"}</definedName>
    <definedName name="sasda" localSheetId="6" hidden="1">{#N/A,#N/A,TRUE,"Serviços"}</definedName>
    <definedName name="sasda" localSheetId="9" hidden="1">{#N/A,#N/A,TRUE,"Serviços"}</definedName>
    <definedName name="sasda" localSheetId="8" hidden="1">{#N/A,#N/A,TRUE,"Serviços"}</definedName>
    <definedName name="sasda" hidden="1">{#N/A,#N/A,TRUE,"Serviços"}</definedName>
    <definedName name="sasdaa" localSheetId="7" hidden="1">{#N/A,#N/A,TRUE,"Serviços"}</definedName>
    <definedName name="sasdaa" localSheetId="6" hidden="1">{#N/A,#N/A,TRUE,"Serviços"}</definedName>
    <definedName name="sasdaa" localSheetId="9" hidden="1">{#N/A,#N/A,TRUE,"Serviços"}</definedName>
    <definedName name="sasdaa" localSheetId="8" hidden="1">{#N/A,#N/A,TRUE,"Serviços"}</definedName>
    <definedName name="sasdaa" hidden="1">{#N/A,#N/A,TRUE,"Serviços"}</definedName>
    <definedName name="SE" localSheetId="7" hidden="1">#REF!</definedName>
    <definedName name="SE" localSheetId="6" hidden="1">#REF!</definedName>
    <definedName name="SE" localSheetId="4" hidden="1">#REF!</definedName>
    <definedName name="SE" localSheetId="9" hidden="1">#REF!</definedName>
    <definedName name="SE" localSheetId="8" hidden="1">#REF!</definedName>
    <definedName name="SE" hidden="1">#REF!</definedName>
    <definedName name="SETEMBRO" localSheetId="7" hidden="1">{#N/A,#N/A,TRUE,"Serviços"}</definedName>
    <definedName name="SETEMBRO" localSheetId="6" hidden="1">{#N/A,#N/A,TRUE,"Serviços"}</definedName>
    <definedName name="SETEMBRO" localSheetId="9" hidden="1">{#N/A,#N/A,TRUE,"Serviços"}</definedName>
    <definedName name="SETEMBRO" localSheetId="8" hidden="1">{#N/A,#N/A,TRUE,"Serviços"}</definedName>
    <definedName name="SETEMBRO" hidden="1">{#N/A,#N/A,TRUE,"Serviços"}</definedName>
    <definedName name="SETEMBROO" localSheetId="7" hidden="1">{#N/A,#N/A,TRUE,"Serviços"}</definedName>
    <definedName name="SETEMBROO" localSheetId="6" hidden="1">{#N/A,#N/A,TRUE,"Serviços"}</definedName>
    <definedName name="SETEMBROO" localSheetId="9" hidden="1">{#N/A,#N/A,TRUE,"Serviços"}</definedName>
    <definedName name="SETEMBROO" localSheetId="8" hidden="1">{#N/A,#N/A,TRUE,"Serviços"}</definedName>
    <definedName name="SETEMBROO" hidden="1">{#N/A,#N/A,TRUE,"Serviços"}</definedName>
    <definedName name="solver_lin" hidden="1">0</definedName>
    <definedName name="solver_num" hidden="1">0</definedName>
    <definedName name="solver_opt" hidden="1">'[3]61M-CBMI:MAT-BET'!$H$18</definedName>
    <definedName name="solver_typ" hidden="1">1</definedName>
    <definedName name="solver_val" hidden="1">0</definedName>
    <definedName name="SRV" localSheetId="7" hidden="1">#REF!</definedName>
    <definedName name="SRV" localSheetId="6" hidden="1">#REF!</definedName>
    <definedName name="SRV" localSheetId="4" hidden="1">#REF!</definedName>
    <definedName name="SRV" localSheetId="9" hidden="1">#REF!</definedName>
    <definedName name="SRV" localSheetId="8" hidden="1">#REF!</definedName>
    <definedName name="SRV" hidden="1">#REF!</definedName>
    <definedName name="_xlnm.Print_Titles" localSheetId="10">EquiRS042022!$1:$3</definedName>
    <definedName name="_xlnm.Print_Titles" localSheetId="11">MaoRS042022!$1:$5</definedName>
    <definedName name="TYUIO" localSheetId="7" hidden="1">{#N/A,#N/A,TRUE,"Serviços"}</definedName>
    <definedName name="TYUIO" localSheetId="6" hidden="1">{#N/A,#N/A,TRUE,"Serviços"}</definedName>
    <definedName name="TYUIO" localSheetId="9" hidden="1">{#N/A,#N/A,TRUE,"Serviços"}</definedName>
    <definedName name="TYUIO" localSheetId="8" hidden="1">{#N/A,#N/A,TRUE,"Serviços"}</definedName>
    <definedName name="TYUIO" hidden="1">{#N/A,#N/A,TRUE,"Serviços"}</definedName>
    <definedName name="TYUIOO" localSheetId="7" hidden="1">{#N/A,#N/A,TRUE,"Serviços"}</definedName>
    <definedName name="TYUIOO" localSheetId="6" hidden="1">{#N/A,#N/A,TRUE,"Serviços"}</definedName>
    <definedName name="TYUIOO" localSheetId="9" hidden="1">{#N/A,#N/A,TRUE,"Serviços"}</definedName>
    <definedName name="TYUIOO" localSheetId="8" hidden="1">{#N/A,#N/A,TRUE,"Serviços"}</definedName>
    <definedName name="TYUIOO" hidden="1">{#N/A,#N/A,TRUE,"Serviços"}</definedName>
    <definedName name="un" hidden="1">#N/A</definedName>
    <definedName name="UnidAux" hidden="1">#N/A</definedName>
    <definedName name="uuu" localSheetId="7" hidden="1">{#N/A,#N/A,TRUE,"Serviços"}</definedName>
    <definedName name="uuu" localSheetId="6" hidden="1">{#N/A,#N/A,TRUE,"Serviços"}</definedName>
    <definedName name="uuu" localSheetId="9" hidden="1">{#N/A,#N/A,TRUE,"Serviços"}</definedName>
    <definedName name="uuu" localSheetId="8" hidden="1">{#N/A,#N/A,TRUE,"Serviços"}</definedName>
    <definedName name="uuu" hidden="1">{#N/A,#N/A,TRUE,"Serviços"}</definedName>
    <definedName name="wrn.Tipo." localSheetId="7" hidden="1">{#N/A,#N/A,TRUE,"Serviços"}</definedName>
    <definedName name="wrn.Tipo." localSheetId="6" hidden="1">{#N/A,#N/A,TRUE,"Serviços"}</definedName>
    <definedName name="wrn.Tipo." localSheetId="9" hidden="1">{#N/A,#N/A,TRUE,"Serviços"}</definedName>
    <definedName name="wrn.Tipo." localSheetId="8" hidden="1">{#N/A,#N/A,TRUE,"Serviços"}</definedName>
    <definedName name="wrn.Tipo." hidden="1">{#N/A,#N/A,TRUE,"Serviços"}</definedName>
    <definedName name="wrn.Tipo.." localSheetId="7" hidden="1">{#N/A,#N/A,TRUE,"Serviços"}</definedName>
    <definedName name="wrn.Tipo.." localSheetId="6" hidden="1">{#N/A,#N/A,TRUE,"Serviços"}</definedName>
    <definedName name="wrn.Tipo.." localSheetId="9" hidden="1">{#N/A,#N/A,TRUE,"Serviços"}</definedName>
    <definedName name="wrn.Tipo.." localSheetId="8" hidden="1">{#N/A,#N/A,TRUE,"Serviços"}</definedName>
    <definedName name="wrn.Tipo.." hidden="1">{#N/A,#N/A,TRUE,"Serviços"}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9" i="15" l="1"/>
  <c r="F19" i="15"/>
  <c r="F21" i="15" s="1"/>
  <c r="F24" i="15" s="1"/>
  <c r="D22" i="15"/>
  <c r="F32" i="15"/>
  <c r="F33" i="15" s="1"/>
  <c r="K712" i="31"/>
  <c r="K720" i="31" s="1"/>
  <c r="K713" i="31"/>
  <c r="K714" i="31"/>
  <c r="K715" i="31"/>
  <c r="K723" i="31"/>
  <c r="K731" i="31" s="1"/>
  <c r="K738" i="31"/>
  <c r="K742" i="31" s="1"/>
  <c r="K739" i="31"/>
  <c r="K745" i="31"/>
  <c r="K749" i="31"/>
  <c r="K752" i="31"/>
  <c r="K753" i="31"/>
  <c r="K756" i="31"/>
  <c r="K759" i="31"/>
  <c r="K763" i="31" s="1"/>
  <c r="K760" i="31"/>
  <c r="K356" i="31"/>
  <c r="K360" i="31" s="1"/>
  <c r="K382" i="31" s="1"/>
  <c r="K419" i="31"/>
  <c r="K423" i="31" s="1"/>
  <c r="K445" i="31" s="1"/>
  <c r="K545" i="31"/>
  <c r="K549" i="31"/>
  <c r="K571" i="31" s="1"/>
  <c r="K622" i="31"/>
  <c r="K626" i="31" s="1"/>
  <c r="K634" i="31" s="1"/>
  <c r="F22" i="15" l="1"/>
  <c r="K572" i="31"/>
  <c r="K573" i="31"/>
  <c r="K446" i="31"/>
  <c r="K447" i="31" s="1"/>
  <c r="K383" i="31"/>
  <c r="K384" i="31" s="1"/>
  <c r="K732" i="31"/>
  <c r="K733" i="31" s="1"/>
  <c r="K764" i="31" s="1"/>
  <c r="K635" i="31"/>
  <c r="K636" i="31" s="1"/>
  <c r="F23" i="15" l="1"/>
  <c r="F25" i="15"/>
  <c r="F26" i="15" s="1"/>
  <c r="F27" i="15" s="1"/>
  <c r="K765" i="31"/>
  <c r="K766" i="31"/>
  <c r="J19" i="35" l="1"/>
  <c r="B6" i="30" l="1"/>
  <c r="I21" i="35"/>
  <c r="I13" i="36"/>
  <c r="H19" i="36"/>
  <c r="H28" i="36"/>
  <c r="L32" i="15" s="1"/>
  <c r="H27" i="36"/>
  <c r="H26" i="36"/>
  <c r="H25" i="36"/>
  <c r="H24" i="36"/>
  <c r="H23" i="36"/>
  <c r="H22" i="36"/>
  <c r="H21" i="36"/>
  <c r="L29" i="15" s="1"/>
  <c r="H20" i="36"/>
  <c r="K13" i="35"/>
  <c r="N21" i="35"/>
  <c r="J21" i="35" s="1"/>
  <c r="N20" i="35"/>
  <c r="J20" i="35"/>
  <c r="N19" i="35"/>
  <c r="J994" i="31"/>
  <c r="L25" i="15" l="1"/>
  <c r="L24" i="15"/>
  <c r="L33" i="15"/>
  <c r="L23" i="15"/>
  <c r="L19" i="15"/>
  <c r="L22" i="15"/>
  <c r="L31" i="15"/>
  <c r="L27" i="15"/>
  <c r="L21" i="15"/>
  <c r="L20" i="15"/>
  <c r="L26" i="15"/>
  <c r="K994" i="31" l="1"/>
  <c r="A136" i="31"/>
  <c r="K1089" i="31" l="1"/>
  <c r="K1088" i="31"/>
  <c r="K1092" i="31" s="1"/>
  <c r="K1082" i="31"/>
  <c r="K1081" i="31"/>
  <c r="K1085" i="31" s="1"/>
  <c r="K1068" i="31"/>
  <c r="K1067" i="31"/>
  <c r="K1071" i="31" s="1"/>
  <c r="K1052" i="31"/>
  <c r="K1060" i="31" s="1"/>
  <c r="K1043" i="31"/>
  <c r="K1042" i="31"/>
  <c r="K1041" i="31"/>
  <c r="K1027" i="31"/>
  <c r="K1018" i="31"/>
  <c r="K1002" i="31"/>
  <c r="K987" i="31"/>
  <c r="K976" i="31"/>
  <c r="K929" i="31"/>
  <c r="K933" i="31" s="1"/>
  <c r="K955" i="31" s="1"/>
  <c r="K866" i="31"/>
  <c r="K870" i="31" s="1"/>
  <c r="K892" i="31" s="1"/>
  <c r="K825" i="31"/>
  <c r="K824" i="31"/>
  <c r="K818" i="31"/>
  <c r="K817" i="31"/>
  <c r="K810" i="31"/>
  <c r="K814" i="31" s="1"/>
  <c r="K803" i="31"/>
  <c r="K807" i="31" s="1"/>
  <c r="K788" i="31"/>
  <c r="K796" i="31" s="1"/>
  <c r="K780" i="31"/>
  <c r="K779" i="31"/>
  <c r="K778" i="31"/>
  <c r="K777" i="31"/>
  <c r="K694" i="31"/>
  <c r="K698" i="31" s="1"/>
  <c r="K687" i="31"/>
  <c r="K691" i="31" s="1"/>
  <c r="K675" i="31"/>
  <c r="K674" i="31"/>
  <c r="K673" i="31"/>
  <c r="K658" i="31"/>
  <c r="K666" i="31" s="1"/>
  <c r="K650" i="31"/>
  <c r="K649" i="31"/>
  <c r="K648" i="31"/>
  <c r="K647" i="31"/>
  <c r="K482" i="31"/>
  <c r="K486" i="31" s="1"/>
  <c r="K508" i="31" s="1"/>
  <c r="K293" i="31"/>
  <c r="K297" i="31" s="1"/>
  <c r="K319" i="31" s="1"/>
  <c r="K223" i="31"/>
  <c r="K204" i="31"/>
  <c r="K212" i="31" s="1"/>
  <c r="K186" i="31"/>
  <c r="K190" i="31" s="1"/>
  <c r="K179" i="31"/>
  <c r="K183" i="31" s="1"/>
  <c r="K172" i="31"/>
  <c r="K176" i="31" s="1"/>
  <c r="K150" i="31"/>
  <c r="K158" i="31" s="1"/>
  <c r="K141" i="31"/>
  <c r="K140" i="31"/>
  <c r="K139" i="31"/>
  <c r="K100" i="31"/>
  <c r="K104" i="31" s="1"/>
  <c r="K85" i="31"/>
  <c r="K93" i="31" s="1"/>
  <c r="K75" i="31"/>
  <c r="K74" i="31"/>
  <c r="K56" i="31"/>
  <c r="K60" i="31" s="1"/>
  <c r="K49" i="31"/>
  <c r="K53" i="31" s="1"/>
  <c r="K37" i="31"/>
  <c r="K36" i="31"/>
  <c r="K35" i="31"/>
  <c r="K20" i="31"/>
  <c r="K28" i="31" s="1"/>
  <c r="K12" i="31"/>
  <c r="K11" i="31"/>
  <c r="K10" i="31"/>
  <c r="K9" i="31"/>
  <c r="K224" i="31" l="1"/>
  <c r="K225" i="31" s="1"/>
  <c r="K256" i="31" s="1"/>
  <c r="K828" i="31"/>
  <c r="K82" i="31"/>
  <c r="K821" i="31"/>
  <c r="K17" i="31"/>
  <c r="K29" i="31" s="1"/>
  <c r="K30" i="31" s="1"/>
  <c r="K677" i="31"/>
  <c r="K39" i="31"/>
  <c r="K1049" i="31"/>
  <c r="K1061" i="31" s="1"/>
  <c r="K1062" i="31" s="1"/>
  <c r="K1093" i="31" s="1"/>
  <c r="K655" i="31"/>
  <c r="K667" i="31" s="1"/>
  <c r="K668" i="31" s="1"/>
  <c r="K785" i="31"/>
  <c r="K797" i="31" s="1"/>
  <c r="K798" i="31" s="1"/>
  <c r="K147" i="31"/>
  <c r="K159" i="31" s="1"/>
  <c r="K160" i="31" s="1"/>
  <c r="K191" i="31" s="1"/>
  <c r="K94" i="31"/>
  <c r="K95" i="31" s="1"/>
  <c r="K126" i="31" s="1"/>
  <c r="K988" i="31"/>
  <c r="K989" i="31" s="1"/>
  <c r="K1028" i="31" s="1"/>
  <c r="K257" i="31"/>
  <c r="K258" i="31" s="1"/>
  <c r="G23" i="15" s="1"/>
  <c r="H23" i="15" s="1"/>
  <c r="M23" i="15" s="1"/>
  <c r="K956" i="31"/>
  <c r="K957" i="31" s="1"/>
  <c r="G33" i="15" s="1"/>
  <c r="H33" i="15" s="1"/>
  <c r="M33" i="15" s="1"/>
  <c r="G27" i="15"/>
  <c r="H27" i="15" s="1"/>
  <c r="M27" i="15" s="1"/>
  <c r="K320" i="31"/>
  <c r="K321" i="31" s="1"/>
  <c r="G24" i="15" s="1"/>
  <c r="H24" i="15" s="1"/>
  <c r="M24" i="15" s="1"/>
  <c r="G25" i="15"/>
  <c r="H25" i="15" s="1"/>
  <c r="M25" i="15" s="1"/>
  <c r="K893" i="31"/>
  <c r="K894" i="31" s="1"/>
  <c r="G32" i="15" s="1"/>
  <c r="K509" i="31"/>
  <c r="K510" i="31" s="1"/>
  <c r="G26" i="15" s="1"/>
  <c r="H26" i="15" s="1"/>
  <c r="M26" i="15" s="1"/>
  <c r="K829" i="31" l="1"/>
  <c r="K830" i="31" s="1"/>
  <c r="K831" i="31" s="1"/>
  <c r="G31" i="15" s="1"/>
  <c r="H31" i="15" s="1"/>
  <c r="M31" i="15" s="1"/>
  <c r="K61" i="31"/>
  <c r="K62" i="31" s="1"/>
  <c r="K63" i="31" s="1"/>
  <c r="G19" i="15" s="1"/>
  <c r="H19" i="15" s="1"/>
  <c r="M19" i="15" s="1"/>
  <c r="K699" i="31"/>
  <c r="K700" i="31" s="1"/>
  <c r="K701" i="31" s="1"/>
  <c r="G29" i="15" s="1"/>
  <c r="H29" i="15" s="1"/>
  <c r="H28" i="15" s="1"/>
  <c r="K1029" i="31"/>
  <c r="K1030" i="31" s="1"/>
  <c r="G22" i="15" s="1"/>
  <c r="K127" i="31"/>
  <c r="K128" i="31" s="1"/>
  <c r="G20" i="15" s="1"/>
  <c r="H20" i="15" s="1"/>
  <c r="M20" i="15" s="1"/>
  <c r="K192" i="31"/>
  <c r="K193" i="31" s="1"/>
  <c r="G21" i="15" s="1"/>
  <c r="D33" i="30"/>
  <c r="D29" i="30"/>
  <c r="D25" i="30"/>
  <c r="D21" i="30"/>
  <c r="E25" i="30"/>
  <c r="G25" i="30"/>
  <c r="S25" i="30"/>
  <c r="E26" i="30"/>
  <c r="G26" i="30"/>
  <c r="S26" i="30"/>
  <c r="E27" i="30"/>
  <c r="G27" i="30"/>
  <c r="S27" i="30"/>
  <c r="T28" i="30"/>
  <c r="L12" i="30"/>
  <c r="B4" i="30"/>
  <c r="C14" i="30"/>
  <c r="C12" i="30"/>
  <c r="W46" i="30"/>
  <c r="F31" i="30" s="1"/>
  <c r="F46" i="30"/>
  <c r="G46" i="30" s="1"/>
  <c r="W45" i="30"/>
  <c r="F30" i="30" s="1"/>
  <c r="F45" i="30"/>
  <c r="H45" i="30" s="1"/>
  <c r="W44" i="30"/>
  <c r="F35" i="30" s="1"/>
  <c r="F44" i="30"/>
  <c r="H44" i="30" s="1"/>
  <c r="F43" i="30"/>
  <c r="H43" i="30" s="1"/>
  <c r="F42" i="30"/>
  <c r="G42" i="30" s="1"/>
  <c r="F41" i="30"/>
  <c r="H41" i="30" s="1"/>
  <c r="T36" i="30"/>
  <c r="S35" i="30"/>
  <c r="G35" i="30"/>
  <c r="E35" i="30"/>
  <c r="S34" i="30"/>
  <c r="G34" i="30"/>
  <c r="E34" i="30"/>
  <c r="S33" i="30"/>
  <c r="G33" i="30"/>
  <c r="E33" i="30"/>
  <c r="T32" i="30"/>
  <c r="S31" i="30"/>
  <c r="G31" i="30"/>
  <c r="E31" i="30"/>
  <c r="S30" i="30"/>
  <c r="G30" i="30"/>
  <c r="E30" i="30"/>
  <c r="S29" i="30"/>
  <c r="G29" i="30"/>
  <c r="E29" i="30"/>
  <c r="T24" i="30"/>
  <c r="S23" i="30"/>
  <c r="G23" i="30"/>
  <c r="E23" i="30"/>
  <c r="S22" i="30"/>
  <c r="G22" i="30"/>
  <c r="E22" i="30"/>
  <c r="S21" i="30"/>
  <c r="G21" i="30"/>
  <c r="E21" i="30"/>
  <c r="M29" i="15" l="1"/>
  <c r="M28" i="15" s="1"/>
  <c r="D35" i="12" s="1"/>
  <c r="D35" i="30"/>
  <c r="D31" i="30"/>
  <c r="H46" i="30"/>
  <c r="J46" i="30" s="1"/>
  <c r="L46" i="30" s="1"/>
  <c r="D23" i="30"/>
  <c r="D27" i="30"/>
  <c r="H21" i="15"/>
  <c r="H42" i="30"/>
  <c r="J42" i="30" s="1"/>
  <c r="L42" i="30" s="1"/>
  <c r="D22" i="12"/>
  <c r="H22" i="15"/>
  <c r="D22" i="30"/>
  <c r="D26" i="30"/>
  <c r="D30" i="30"/>
  <c r="D34" i="30"/>
  <c r="H31" i="30"/>
  <c r="T31" i="30" s="1"/>
  <c r="G44" i="30"/>
  <c r="J44" i="30" s="1"/>
  <c r="L44" i="30" s="1"/>
  <c r="M44" i="30" s="1"/>
  <c r="N44" i="30" s="1"/>
  <c r="F26" i="30"/>
  <c r="H26" i="30" s="1"/>
  <c r="G41" i="30"/>
  <c r="J41" i="30" s="1"/>
  <c r="L41" i="30" s="1"/>
  <c r="H35" i="30"/>
  <c r="T35" i="30" s="1"/>
  <c r="H30" i="30"/>
  <c r="T30" i="30" s="1"/>
  <c r="F25" i="30"/>
  <c r="H25" i="30" s="1"/>
  <c r="F27" i="30"/>
  <c r="H27" i="30" s="1"/>
  <c r="F21" i="30"/>
  <c r="H21" i="30" s="1"/>
  <c r="F23" i="30"/>
  <c r="H23" i="30" s="1"/>
  <c r="F33" i="30"/>
  <c r="H33" i="30" s="1"/>
  <c r="F34" i="30"/>
  <c r="H34" i="30" s="1"/>
  <c r="T34" i="30" s="1"/>
  <c r="F29" i="30"/>
  <c r="H29" i="30" s="1"/>
  <c r="I29" i="30" s="1"/>
  <c r="G43" i="30"/>
  <c r="J43" i="30" s="1"/>
  <c r="L43" i="30" s="1"/>
  <c r="G45" i="30"/>
  <c r="J45" i="30" s="1"/>
  <c r="L45" i="30" s="1"/>
  <c r="F22" i="30"/>
  <c r="H22" i="30" s="1"/>
  <c r="I35" i="30" l="1"/>
  <c r="M46" i="30"/>
  <c r="N46" i="30" s="1"/>
  <c r="L27" i="30" s="1"/>
  <c r="M27" i="30" s="1"/>
  <c r="M41" i="30"/>
  <c r="N41" i="30" s="1"/>
  <c r="L29" i="30" s="1"/>
  <c r="M29" i="30" s="1"/>
  <c r="N29" i="30" s="1"/>
  <c r="M42" i="30"/>
  <c r="N42" i="30" s="1"/>
  <c r="L30" i="30" s="1"/>
  <c r="M30" i="30" s="1"/>
  <c r="M45" i="30"/>
  <c r="N45" i="30" s="1"/>
  <c r="L26" i="30" s="1"/>
  <c r="M26" i="30" s="1"/>
  <c r="M43" i="30"/>
  <c r="N43" i="30" s="1"/>
  <c r="L31" i="30" s="1"/>
  <c r="M31" i="30" s="1"/>
  <c r="H18" i="15"/>
  <c r="M21" i="15"/>
  <c r="M22" i="15"/>
  <c r="I30" i="30"/>
  <c r="I34" i="30"/>
  <c r="T27" i="30"/>
  <c r="I27" i="30"/>
  <c r="L25" i="30"/>
  <c r="M25" i="30" s="1"/>
  <c r="L33" i="30"/>
  <c r="M33" i="30" s="1"/>
  <c r="L21" i="30"/>
  <c r="M21" i="30" s="1"/>
  <c r="I31" i="30"/>
  <c r="I26" i="30"/>
  <c r="T26" i="30"/>
  <c r="T25" i="30"/>
  <c r="I25" i="30"/>
  <c r="T22" i="30"/>
  <c r="I22" i="30"/>
  <c r="T33" i="30"/>
  <c r="I33" i="30"/>
  <c r="T23" i="30"/>
  <c r="I23" i="30"/>
  <c r="T21" i="30"/>
  <c r="I21" i="30"/>
  <c r="T29" i="30"/>
  <c r="H32" i="15" l="1"/>
  <c r="M32" i="15" s="1"/>
  <c r="M30" i="15" s="1"/>
  <c r="D37" i="12" s="1"/>
  <c r="M18" i="15"/>
  <c r="L34" i="30"/>
  <c r="M34" i="30" s="1"/>
  <c r="N34" i="30" s="1"/>
  <c r="L22" i="30"/>
  <c r="M22" i="30" s="1"/>
  <c r="N22" i="30" s="1"/>
  <c r="N33" i="30"/>
  <c r="N26" i="30"/>
  <c r="N30" i="30"/>
  <c r="N31" i="30"/>
  <c r="N21" i="30"/>
  <c r="L35" i="30"/>
  <c r="M35" i="30" s="1"/>
  <c r="N35" i="30" s="1"/>
  <c r="L23" i="30"/>
  <c r="M23" i="30" s="1"/>
  <c r="N23" i="30" s="1"/>
  <c r="N25" i="30"/>
  <c r="N27" i="30"/>
  <c r="D20" i="12"/>
  <c r="H30" i="15" l="1"/>
  <c r="D24" i="12" s="1"/>
  <c r="M17" i="15"/>
  <c r="D33" i="12"/>
  <c r="H47" i="4"/>
  <c r="I47" i="4"/>
  <c r="H48" i="4"/>
  <c r="I48" i="4"/>
  <c r="H49" i="4"/>
  <c r="I49" i="4"/>
  <c r="H50" i="4"/>
  <c r="I50" i="4"/>
  <c r="I56" i="4" s="1"/>
  <c r="H51" i="4"/>
  <c r="I51" i="4"/>
  <c r="J51" i="4" s="1"/>
  <c r="H52" i="4"/>
  <c r="I52" i="4"/>
  <c r="J52" i="4" s="1"/>
  <c r="H53" i="4"/>
  <c r="I53" i="4"/>
  <c r="J53" i="4" s="1"/>
  <c r="H54" i="4"/>
  <c r="I54" i="4"/>
  <c r="J54" i="4" s="1"/>
  <c r="H55" i="4"/>
  <c r="H56" i="4" s="1"/>
  <c r="I55" i="4"/>
  <c r="J55" i="4" s="1"/>
  <c r="I46" i="4"/>
  <c r="H46" i="4"/>
  <c r="H17" i="15" l="1"/>
  <c r="J46" i="4"/>
  <c r="J48" i="4"/>
  <c r="J47" i="4"/>
  <c r="J50" i="4"/>
  <c r="J49" i="4"/>
  <c r="J40" i="27"/>
  <c r="J39" i="27"/>
  <c r="J38" i="27"/>
  <c r="J36" i="27"/>
  <c r="J35" i="27"/>
  <c r="K32" i="27"/>
  <c r="K33" i="27"/>
  <c r="K34" i="27"/>
  <c r="K35" i="27"/>
  <c r="K36" i="27"/>
  <c r="K37" i="27"/>
  <c r="K38" i="27"/>
  <c r="K39" i="27"/>
  <c r="K40" i="27"/>
  <c r="J31" i="27"/>
  <c r="J56" i="4" l="1"/>
  <c r="C58" i="4" s="1"/>
  <c r="AA46" i="27"/>
  <c r="AA45" i="27"/>
  <c r="AA44" i="27"/>
  <c r="AA43" i="27"/>
  <c r="AA42" i="27"/>
  <c r="AA41" i="27"/>
  <c r="AA40" i="27"/>
  <c r="AA39" i="27"/>
  <c r="AA38" i="27"/>
  <c r="AA37" i="27"/>
  <c r="AA36" i="27"/>
  <c r="AA35" i="27"/>
  <c r="AA34" i="27"/>
  <c r="AA33" i="27"/>
  <c r="AA32" i="27"/>
  <c r="AA31" i="27"/>
  <c r="AA30" i="27"/>
  <c r="AA29" i="27"/>
  <c r="AA28" i="27"/>
  <c r="AA27" i="27"/>
  <c r="AA26" i="27"/>
  <c r="AA25" i="27"/>
  <c r="AA24" i="27"/>
  <c r="AA23" i="27"/>
  <c r="AA22" i="27"/>
  <c r="AA21" i="27"/>
  <c r="AA20" i="27"/>
  <c r="AA19" i="27"/>
  <c r="AA18" i="27"/>
  <c r="AI35" i="27" l="1"/>
  <c r="AJ35" i="27" s="1"/>
  <c r="AA47" i="27"/>
  <c r="AI27" i="27" s="1"/>
  <c r="AJ27" i="27" s="1"/>
  <c r="AI23" i="27"/>
  <c r="AJ23" i="27" s="1"/>
  <c r="AI19" i="27" l="1"/>
  <c r="AJ19" i="27" s="1"/>
  <c r="AI31" i="27"/>
  <c r="AJ31" i="27" s="1"/>
  <c r="AI28" i="27"/>
  <c r="AJ28" i="27" s="1"/>
  <c r="AI24" i="27"/>
  <c r="AJ24" i="27" s="1"/>
  <c r="AI20" i="27"/>
  <c r="AJ20" i="27" s="1"/>
  <c r="AI36" i="27"/>
  <c r="AJ36" i="27" s="1"/>
  <c r="AI37" i="27"/>
  <c r="AJ37" i="27" s="1"/>
  <c r="AI33" i="27"/>
  <c r="AJ33" i="27" s="1"/>
  <c r="AI29" i="27"/>
  <c r="AJ29" i="27" s="1"/>
  <c r="AI22" i="27"/>
  <c r="AJ22" i="27" s="1"/>
  <c r="AI21" i="27"/>
  <c r="AJ21" i="27" s="1"/>
  <c r="AI30" i="27"/>
  <c r="AJ30" i="27" s="1"/>
  <c r="AI38" i="27"/>
  <c r="AJ38" i="27" s="1"/>
  <c r="AI39" i="27"/>
  <c r="AJ39" i="27" s="1"/>
  <c r="AI18" i="27"/>
  <c r="AJ18" i="27" s="1"/>
  <c r="AI26" i="27"/>
  <c r="AJ26" i="27" s="1"/>
  <c r="AI34" i="27"/>
  <c r="AJ34" i="27" s="1"/>
  <c r="AI32" i="27"/>
  <c r="AJ32" i="27" s="1"/>
  <c r="AI40" i="27"/>
  <c r="AJ40" i="27" s="1"/>
  <c r="AI25" i="27"/>
  <c r="AJ25" i="27" s="1"/>
  <c r="C24" i="12"/>
  <c r="C37" i="12" s="1"/>
  <c r="C22" i="12"/>
  <c r="C35" i="12" s="1"/>
  <c r="B24" i="12"/>
  <c r="B37" i="12" s="1"/>
  <c r="B22" i="12"/>
  <c r="B35" i="12" s="1"/>
  <c r="AJ41" i="27" l="1"/>
  <c r="J19" i="27" s="1"/>
  <c r="M43" i="27" l="1"/>
  <c r="L43" i="27"/>
  <c r="K43" i="27"/>
  <c r="M42" i="27"/>
  <c r="L42" i="27"/>
  <c r="K42" i="27"/>
  <c r="M41" i="27"/>
  <c r="L41" i="27"/>
  <c r="K41" i="27"/>
  <c r="K31" i="27"/>
  <c r="M26" i="27"/>
  <c r="L26" i="27"/>
  <c r="K26" i="27"/>
  <c r="I26" i="27"/>
  <c r="M25" i="27"/>
  <c r="L25" i="27"/>
  <c r="K25" i="27"/>
  <c r="I25" i="27"/>
  <c r="M24" i="27"/>
  <c r="L24" i="27"/>
  <c r="K24" i="27"/>
  <c r="I24" i="27"/>
  <c r="K23" i="27"/>
  <c r="I23" i="27"/>
  <c r="L23" i="27" s="1"/>
  <c r="M23" i="27" s="1"/>
  <c r="K22" i="27"/>
  <c r="I22" i="27"/>
  <c r="L22" i="27" s="1"/>
  <c r="M22" i="27" s="1"/>
  <c r="K19" i="27"/>
  <c r="I19" i="27"/>
  <c r="D14" i="27"/>
  <c r="M12" i="27"/>
  <c r="D12" i="27"/>
  <c r="B4" i="27"/>
  <c r="L33" i="27" l="1"/>
  <c r="M33" i="27" s="1"/>
  <c r="L34" i="27"/>
  <c r="M34" i="27" s="1"/>
  <c r="L37" i="27"/>
  <c r="M37" i="27" s="1"/>
  <c r="L32" i="27"/>
  <c r="M32" i="27" s="1"/>
  <c r="L40" i="27"/>
  <c r="M40" i="27" s="1"/>
  <c r="L38" i="27"/>
  <c r="M38" i="27" s="1"/>
  <c r="L31" i="27"/>
  <c r="M31" i="27" s="1"/>
  <c r="L36" i="27"/>
  <c r="M36" i="27" s="1"/>
  <c r="L35" i="27"/>
  <c r="M35" i="27" s="1"/>
  <c r="L39" i="27"/>
  <c r="M39" i="27" s="1"/>
  <c r="M44" i="27" l="1"/>
  <c r="M47" i="27" s="1"/>
  <c r="L27" i="27"/>
  <c r="M19" i="27"/>
  <c r="M27" i="27" s="1"/>
  <c r="M46" i="27" s="1"/>
  <c r="M48" i="27" l="1"/>
  <c r="C15" i="4"/>
  <c r="B15" i="4"/>
  <c r="B14" i="4"/>
  <c r="C12" i="4"/>
  <c r="B4" i="4"/>
  <c r="B20" i="12"/>
  <c r="B33" i="12" s="1"/>
  <c r="C13" i="12"/>
  <c r="C14" i="4" s="1"/>
  <c r="C20" i="12" l="1"/>
  <c r="C33" i="12" s="1"/>
  <c r="B17" i="15"/>
  <c r="B3" i="15"/>
  <c r="D12" i="15"/>
  <c r="C11" i="12"/>
  <c r="B4" i="12"/>
  <c r="C83" i="14"/>
  <c r="B4" i="14"/>
  <c r="D12" i="36" l="1"/>
  <c r="E12" i="35"/>
  <c r="D14" i="36"/>
  <c r="E14" i="35"/>
  <c r="H10" i="15"/>
  <c r="I12" i="36" l="1"/>
  <c r="K12" i="35"/>
  <c r="I85" i="14" l="1"/>
  <c r="G33" i="4" l="1"/>
  <c r="G35" i="4" s="1"/>
  <c r="I36" i="4" s="1"/>
  <c r="C13" i="4"/>
  <c r="G22" i="4" l="1"/>
  <c r="G26" i="4" s="1"/>
  <c r="L14" i="30"/>
  <c r="I29" i="4"/>
  <c r="C12" i="12"/>
  <c r="C85" i="14"/>
  <c r="M14" i="27" l="1"/>
  <c r="I32" i="4" l="1"/>
  <c r="I33" i="4"/>
  <c r="I31" i="4"/>
  <c r="I24" i="4"/>
  <c r="I23" i="4"/>
  <c r="I25" i="4"/>
  <c r="I34" i="4"/>
  <c r="G28" i="4"/>
  <c r="G29" i="4" s="1"/>
  <c r="H12" i="15"/>
  <c r="C15" i="12"/>
  <c r="D49" i="13"/>
  <c r="I14" i="36" l="1"/>
  <c r="K14" i="35"/>
  <c r="I26" i="4"/>
  <c r="I35" i="4"/>
  <c r="G36" i="4"/>
  <c r="D28" i="12" l="1"/>
  <c r="D40" i="1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M42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OBSERVAR BDI</t>
        </r>
      </text>
    </comment>
    <comment ref="M43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OBSERVAR BDI</t>
        </r>
      </text>
    </comment>
    <comment ref="M44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OBSERVAR BDI</t>
        </r>
      </text>
    </comment>
    <comment ref="M45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OBSERVAR BDI</t>
        </r>
      </text>
    </comment>
    <comment ref="M46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OBSERVAR BDI</t>
        </r>
      </text>
    </comment>
  </commentList>
</comments>
</file>

<file path=xl/sharedStrings.xml><?xml version="1.0" encoding="utf-8"?>
<sst xmlns="http://schemas.openxmlformats.org/spreadsheetml/2006/main" count="3216" uniqueCount="1708">
  <si>
    <t>BDI - BONIFICAÇÃO E DESPESAS INDIRETAS</t>
  </si>
  <si>
    <t>CONDIÇÃO ONERADA</t>
  </si>
  <si>
    <t>DESCRIÇÃO DAS PARCELAS</t>
  </si>
  <si>
    <t>CONSERVAÇÃO RODOVIÁRIA</t>
  </si>
  <si>
    <t xml:space="preserve">Despesas Indiretas </t>
  </si>
  <si>
    <t xml:space="preserve">% sobre o PV </t>
  </si>
  <si>
    <t>% sobre o CD</t>
  </si>
  <si>
    <t>Administração Central</t>
  </si>
  <si>
    <t xml:space="preserve">Despesas Financeiras </t>
  </si>
  <si>
    <t>Seguros e Garantias Contratuais</t>
  </si>
  <si>
    <t xml:space="preserve">0,25% do PV </t>
  </si>
  <si>
    <t xml:space="preserve">Riscos </t>
  </si>
  <si>
    <t xml:space="preserve">0,50% do PV </t>
  </si>
  <si>
    <t>Subtotal 1</t>
  </si>
  <si>
    <t xml:space="preserve">Benefícios </t>
  </si>
  <si>
    <t xml:space="preserve">Lucro </t>
  </si>
  <si>
    <t>Subtotal 2</t>
  </si>
  <si>
    <t>Tributos</t>
  </si>
  <si>
    <t>COFINS</t>
  </si>
  <si>
    <t>ISSQN</t>
  </si>
  <si>
    <t>Contribuição Previdenciária sobre a Receita Bruta - CPRB</t>
  </si>
  <si>
    <t>0,00% do PV</t>
  </si>
  <si>
    <t>Subtotal 3</t>
  </si>
  <si>
    <t>BDI</t>
  </si>
  <si>
    <t>OBSERVAÇÕES</t>
  </si>
  <si>
    <t>PV = PREÇO DE VENDA</t>
  </si>
  <si>
    <t>CD = CUSTO DIRETO</t>
  </si>
  <si>
    <t>Município</t>
  </si>
  <si>
    <t>Alíquota</t>
  </si>
  <si>
    <t>Lado Direito</t>
  </si>
  <si>
    <t>Lado Esquerdo</t>
  </si>
  <si>
    <t>Extensão</t>
  </si>
  <si>
    <t>Equivalência</t>
  </si>
  <si>
    <t xml:space="preserve">km inicial </t>
  </si>
  <si>
    <t xml:space="preserve">km final </t>
  </si>
  <si>
    <t>km inicial</t>
  </si>
  <si>
    <t>km final</t>
  </si>
  <si>
    <t xml:space="preserve">Direito </t>
  </si>
  <si>
    <t xml:space="preserve">Esquerdo </t>
  </si>
  <si>
    <t>TOTAL...................................................................................................................................................................................</t>
  </si>
  <si>
    <t>ALÍQUOTA(%):</t>
  </si>
  <si>
    <t>BDI:</t>
  </si>
  <si>
    <t>QUANTIDADE</t>
  </si>
  <si>
    <t>(R$)</t>
  </si>
  <si>
    <t>E9666</t>
  </si>
  <si>
    <t>E9093</t>
  </si>
  <si>
    <t>Veículo leve - 53 kW (sem motorista)</t>
  </si>
  <si>
    <t>E9125</t>
  </si>
  <si>
    <t>TOTAL</t>
  </si>
  <si>
    <t>CÓDIGO</t>
  </si>
  <si>
    <t>ITEM</t>
  </si>
  <si>
    <t>ONERADO</t>
  </si>
  <si>
    <t>DATA BASE:</t>
  </si>
  <si>
    <t>DISCRIMINAÇÃO</t>
  </si>
  <si>
    <t>QUANT.</t>
  </si>
  <si>
    <t>P9819</t>
  </si>
  <si>
    <t>P9916</t>
  </si>
  <si>
    <t>Encarregado de conservação rodoviária</t>
  </si>
  <si>
    <t>VALOR (R$)</t>
  </si>
  <si>
    <t>VALOR TOTAL (PI)</t>
  </si>
  <si>
    <t xml:space="preserve">MAPA DE SITUAÇÃO / LOCALIZAÇÃO </t>
  </si>
  <si>
    <t>Data:</t>
  </si>
  <si>
    <t>DATA BASE SICRO:</t>
  </si>
  <si>
    <t>DATA:</t>
  </si>
  <si>
    <t>ORÇAMENTO</t>
  </si>
  <si>
    <t>VOLUME ORÇAMENTÁRIO</t>
  </si>
  <si>
    <t>LOCAL:</t>
  </si>
  <si>
    <t>CONTRATANTE:</t>
  </si>
  <si>
    <t>RESUMO ORÇAMENTO</t>
  </si>
  <si>
    <t>OBJETO:</t>
  </si>
  <si>
    <t>TAREFAS OU SERVIÇOS</t>
  </si>
  <si>
    <t>SERVIÇOS</t>
  </si>
  <si>
    <t>UNID.</t>
  </si>
  <si>
    <t>1.2</t>
  </si>
  <si>
    <t>3.1</t>
  </si>
  <si>
    <t xml:space="preserve">MUNICÍPIO ATINGIDO PELA OBRA </t>
  </si>
  <si>
    <t>1.1</t>
  </si>
  <si>
    <t>2.1</t>
  </si>
  <si>
    <t xml:space="preserve"> ONDERADO</t>
  </si>
  <si>
    <t>CONDIÇÃO:</t>
  </si>
  <si>
    <t>PREÇO TOTAL</t>
  </si>
  <si>
    <t>BDI SERVIÇOS:</t>
  </si>
  <si>
    <t>PREÇO UNIT.</t>
  </si>
  <si>
    <t>Fonte: NOVO Sicro</t>
  </si>
  <si>
    <t>CONCESSIONÁRIA ROTA DE SANTA MARIA</t>
  </si>
  <si>
    <t>GRUPO SACYR</t>
  </si>
  <si>
    <t>UNIT</t>
  </si>
  <si>
    <t>mês</t>
  </si>
  <si>
    <t>Variável - f (CD)</t>
  </si>
  <si>
    <t>1,04% sobre (PV - Lucro)</t>
  </si>
  <si>
    <t>MATERIAL</t>
  </si>
  <si>
    <t>ORIGEM</t>
  </si>
  <si>
    <t>DESTINO</t>
  </si>
  <si>
    <t>Unidade</t>
  </si>
  <si>
    <t>FIT - Fator de Interferência de Tráfego</t>
  </si>
  <si>
    <t>Interferência de Tráfego - VMD</t>
  </si>
  <si>
    <t>Inicio</t>
  </si>
  <si>
    <t>Fim</t>
  </si>
  <si>
    <t>VMD</t>
  </si>
  <si>
    <t>FIT</t>
  </si>
  <si>
    <t>FIT Médio</t>
  </si>
  <si>
    <t>Interferência de Tráfego Centros Urbanos</t>
  </si>
  <si>
    <t>Cidade</t>
  </si>
  <si>
    <t>% segmento</t>
  </si>
  <si>
    <t>Interferência de Tráfego VMD</t>
  </si>
  <si>
    <t>Fator de Interferência de Tráfego Resultante</t>
  </si>
  <si>
    <t>Rodovia</t>
  </si>
  <si>
    <t>Ext</t>
  </si>
  <si>
    <t>RSC-287</t>
  </si>
  <si>
    <t>% Rodovia</t>
  </si>
  <si>
    <t>COMPOSIÇÃO DOS CUSTOS UNITÁRIOS DOS SERVIÇOS</t>
  </si>
  <si>
    <t>PROPONENTE: ROTA DE SANTA MARIA</t>
  </si>
  <si>
    <t>ESTADO</t>
  </si>
  <si>
    <t>RIO GRANDE DO SUL</t>
  </si>
  <si>
    <t>ITEM:</t>
  </si>
  <si>
    <t>DESCRIÇÃO DO SERVIÇO:</t>
  </si>
  <si>
    <t>UNIDADE:</t>
  </si>
  <si>
    <t>A - EQUIPAMENTOS</t>
  </si>
  <si>
    <t>UTILIZAÇÃO</t>
  </si>
  <si>
    <t>CUSTO OPERACIONAL</t>
  </si>
  <si>
    <t>CUSTO 
HORÁRIO TOTAL</t>
  </si>
  <si>
    <t>OPERATIVA</t>
  </si>
  <si>
    <t>IMPROD</t>
  </si>
  <si>
    <t>OPERATIVO</t>
  </si>
  <si>
    <t>CUSTO HORÁRIO TOTAL DE EQUIPAMENTOS</t>
  </si>
  <si>
    <t>B - MÃO DE OBRA</t>
  </si>
  <si>
    <t>UNIDADE</t>
  </si>
  <si>
    <t>CUSTO HORÁRIO</t>
  </si>
  <si>
    <t xml:space="preserve">P9824          </t>
  </si>
  <si>
    <t xml:space="preserve">SERVENTE </t>
  </si>
  <si>
    <t xml:space="preserve">H     </t>
  </si>
  <si>
    <t>CUSTO HORÁRIO TOTAL DE MÃO DE OBRA</t>
  </si>
  <si>
    <t>PRODUÇÃO DA EQUIPE</t>
  </si>
  <si>
    <t>CUSTO HORÁRIO TOTAL DE EXECUÇÃO</t>
  </si>
  <si>
    <t>CUSTO UNITÁRIO DE EXECUÇÃO</t>
  </si>
  <si>
    <t>Custo FIC</t>
  </si>
  <si>
    <t>Custo FIT</t>
  </si>
  <si>
    <t>C - MATERIAIS</t>
  </si>
  <si>
    <t>PREÇO UNITÁRIO</t>
  </si>
  <si>
    <t>CUSTO 
UNITÁRIO</t>
  </si>
  <si>
    <t>CUSTO UNITÁRIO TOTAL DE MATERIAL</t>
  </si>
  <si>
    <t>D - ATIVIDADES AUXILIARES</t>
  </si>
  <si>
    <t>CUSTO TOTAL DE ATIVIDADES AUXILIARES</t>
  </si>
  <si>
    <t>E -TEMPO FIXO</t>
  </si>
  <si>
    <t>CUSTO UNITÁRIO TOTAL DE TEMPO FIXO</t>
  </si>
  <si>
    <t>F - TRANSPORTES</t>
  </si>
  <si>
    <t>Qtde</t>
  </si>
  <si>
    <t>Unid.</t>
  </si>
  <si>
    <t>Custo</t>
  </si>
  <si>
    <t>DMT</t>
  </si>
  <si>
    <t>CUSTO UNITÁRIO</t>
  </si>
  <si>
    <t>(LN)</t>
  </si>
  <si>
    <t>(RP)</t>
  </si>
  <si>
    <t>(PV)</t>
  </si>
  <si>
    <t>CUSTO UNITÁRIO TOTAL DE TRANSPORTE</t>
  </si>
  <si>
    <t>CUSTO UNITÁRIO DIRETO TOTAL</t>
  </si>
  <si>
    <t>CUSTO UNITÁRIO TOTAL</t>
  </si>
  <si>
    <t xml:space="preserve">un    </t>
  </si>
  <si>
    <t xml:space="preserve">T     </t>
  </si>
  <si>
    <t xml:space="preserve">TKM   </t>
  </si>
  <si>
    <t xml:space="preserve">         </t>
  </si>
  <si>
    <t xml:space="preserve">kg    </t>
  </si>
  <si>
    <t xml:space="preserve">M³    </t>
  </si>
  <si>
    <t xml:space="preserve">m³    </t>
  </si>
  <si>
    <t xml:space="preserve">E9605          </t>
  </si>
  <si>
    <t xml:space="preserve">CAMINHÃO TANQUE COM CAPACIDADE DE 6.000 L - 136 KW </t>
  </si>
  <si>
    <t xml:space="preserve">E9779          </t>
  </si>
  <si>
    <t xml:space="preserve">GRUPO GERADOR - 100/110 KVA </t>
  </si>
  <si>
    <t>E9642</t>
  </si>
  <si>
    <t>E9798</t>
  </si>
  <si>
    <t>E9605</t>
  </si>
  <si>
    <t>E9672</t>
  </si>
  <si>
    <t>E9574</t>
  </si>
  <si>
    <t>E9540</t>
  </si>
  <si>
    <t>E9779</t>
  </si>
  <si>
    <t>E9519</t>
  </si>
  <si>
    <t>E9515</t>
  </si>
  <si>
    <t>E9648</t>
  </si>
  <si>
    <t>E9716</t>
  </si>
  <si>
    <t>E9686</t>
  </si>
  <si>
    <t>E9592</t>
  </si>
  <si>
    <t>Auxiliar administrativo</t>
  </si>
  <si>
    <t>Encarregado de turma</t>
  </si>
  <si>
    <t>Apontador</t>
  </si>
  <si>
    <t>P9806</t>
  </si>
  <si>
    <t>P9827</t>
  </si>
  <si>
    <t>Vigia</t>
  </si>
  <si>
    <t>ABRIL/2022</t>
  </si>
  <si>
    <t>CBUQ</t>
  </si>
  <si>
    <t>M2</t>
  </si>
  <si>
    <t>PINTURA DE LIGAÇÃO COM RR-1C, EXCETO LIGANTE</t>
  </si>
  <si>
    <t>M3</t>
  </si>
  <si>
    <t>T.KM</t>
  </si>
  <si>
    <t>ANP04</t>
  </si>
  <si>
    <t>FORNECIMENTO DE EMULSÃO RR-1C</t>
  </si>
  <si>
    <t>TON</t>
  </si>
  <si>
    <t>ANP01</t>
  </si>
  <si>
    <t>TRAN04</t>
  </si>
  <si>
    <t>TRANSPORTE  DE EMULSÃO ASFÁLTICA RR-1C</t>
  </si>
  <si>
    <t>TRAN01</t>
  </si>
  <si>
    <t>TRANSPORTE  DE CIMENTO ASFÁLTICO POLIMERO 55/75</t>
  </si>
  <si>
    <t>MICROFRESAGEM</t>
  </si>
  <si>
    <t>MICRORREVESTIMENTO</t>
  </si>
  <si>
    <t>FABRICAÇÃO E APLICAÇÃO DE MICROREVESTIMENTO ASFÁLTICO 12 MM</t>
  </si>
  <si>
    <t>RSC-287 KM 28+000 ao KM+180+000</t>
  </si>
  <si>
    <t>Tabaí</t>
  </si>
  <si>
    <t>Taquari</t>
  </si>
  <si>
    <t>Bom Retiro do Sul</t>
  </si>
  <si>
    <t>Venancio Aires</t>
  </si>
  <si>
    <t>Snta Cruz do Sul</t>
  </si>
  <si>
    <t>Vera Cruz</t>
  </si>
  <si>
    <t>Vale do Sol</t>
  </si>
  <si>
    <t>Candelária</t>
  </si>
  <si>
    <t>Novo Cabrais</t>
  </si>
  <si>
    <t>Paraíso do Sul</t>
  </si>
  <si>
    <t>P02</t>
  </si>
  <si>
    <t>ST1</t>
  </si>
  <si>
    <t>ST1.U</t>
  </si>
  <si>
    <t>PP1</t>
  </si>
  <si>
    <t>ST2</t>
  </si>
  <si>
    <t>P03</t>
  </si>
  <si>
    <t>ST3</t>
  </si>
  <si>
    <t>PP2</t>
  </si>
  <si>
    <t>ST4</t>
  </si>
  <si>
    <t>P05</t>
  </si>
  <si>
    <t>ST5</t>
  </si>
  <si>
    <t>ST5.U</t>
  </si>
  <si>
    <t>P06</t>
  </si>
  <si>
    <t>P07</t>
  </si>
  <si>
    <t>ST6</t>
  </si>
  <si>
    <t>P08</t>
  </si>
  <si>
    <t>ST7</t>
  </si>
  <si>
    <t>PP3</t>
  </si>
  <si>
    <t>ST7.U</t>
  </si>
  <si>
    <t>P09</t>
  </si>
  <si>
    <t>ST8.U</t>
  </si>
  <si>
    <t>ST8</t>
  </si>
  <si>
    <t>PP4</t>
  </si>
  <si>
    <t>ST9</t>
  </si>
  <si>
    <t>P10</t>
  </si>
  <si>
    <t>ST10</t>
  </si>
  <si>
    <t>ST10.U</t>
  </si>
  <si>
    <t>VDM</t>
  </si>
  <si>
    <t>P11</t>
  </si>
  <si>
    <t>P12</t>
  </si>
  <si>
    <t>ST11</t>
  </si>
  <si>
    <t>PP5</t>
  </si>
  <si>
    <t>ST11.U</t>
  </si>
  <si>
    <t>REIDI:</t>
  </si>
  <si>
    <t>SIM</t>
  </si>
  <si>
    <r>
      <t>PIS</t>
    </r>
    <r>
      <rPr>
        <sz val="12"/>
        <color rgb="FFFF0000"/>
        <rFont val="Arial"/>
        <family val="2"/>
      </rPr>
      <t xml:space="preserve"> - BENEFÍCIO DO REIDI</t>
    </r>
  </si>
  <si>
    <r>
      <t>COFINS</t>
    </r>
    <r>
      <rPr>
        <sz val="12"/>
        <color rgb="FFFF0000"/>
        <rFont val="Arial"/>
        <family val="2"/>
      </rPr>
      <t xml:space="preserve"> - BENEFÍCIO DO REIDI</t>
    </r>
  </si>
  <si>
    <t xml:space="preserve">0.00 %do PV </t>
  </si>
  <si>
    <t>2,85% do PV</t>
  </si>
  <si>
    <t>SELIC (Agosto/2022) = 13,75% a.a.</t>
  </si>
  <si>
    <t>ESTUDO ECONÔMICO REFERENTE AQUISIÇÃO DE MATERIAIS BETUMINOSOS</t>
  </si>
  <si>
    <t>BDI DIF:</t>
  </si>
  <si>
    <t>FORNECEDOR</t>
  </si>
  <si>
    <t>VOLUME</t>
  </si>
  <si>
    <t>Preço ANP</t>
  </si>
  <si>
    <t>Tributos *</t>
  </si>
  <si>
    <t>BDI-REIDI</t>
  </si>
  <si>
    <t>Preço Unitário</t>
  </si>
  <si>
    <t>Preço total de Aquisição</t>
  </si>
  <si>
    <t>D.T.</t>
  </si>
  <si>
    <t xml:space="preserve">Tributos </t>
  </si>
  <si>
    <t>Preço Unit. Transp.</t>
  </si>
  <si>
    <t>Custo de Transp.</t>
  </si>
  <si>
    <t>C. Total</t>
  </si>
  <si>
    <t>(Ton)</t>
  </si>
  <si>
    <t>(R$/t)</t>
  </si>
  <si>
    <t xml:space="preserve"> (%)</t>
  </si>
  <si>
    <t>(%)</t>
  </si>
  <si>
    <t>(km)</t>
  </si>
  <si>
    <t>cd</t>
  </si>
  <si>
    <t>PREÇO ANP</t>
  </si>
  <si>
    <t>Betunel - Montenegro/RS</t>
  </si>
  <si>
    <t>RR-1C</t>
  </si>
  <si>
    <t>RS ABRIL/2022</t>
  </si>
  <si>
    <t>Greca - Esteio/RS</t>
  </si>
  <si>
    <t>Stratura - Canoas/RS</t>
  </si>
  <si>
    <t>SUL ABRIL/2022</t>
  </si>
  <si>
    <t>REFAP - Canoas/RS</t>
  </si>
  <si>
    <t>CAP 50-70</t>
  </si>
  <si>
    <t>REPAR - Araucária/PR</t>
  </si>
  <si>
    <t>PR ABRIL/2022</t>
  </si>
  <si>
    <t>REPLAN - Paulínea/SP</t>
  </si>
  <si>
    <t>SP ABRIL/2022</t>
  </si>
  <si>
    <t>ESTUDO ECONÔMICO REFERENTE AO TRANSPORTE DE MATERIAIS BETUMINOSOS</t>
  </si>
  <si>
    <t>ROD. PAVIMENTADA = (26,939 + 0,253xD) P/ JULHO 2014</t>
  </si>
  <si>
    <t>INDICE - FGV</t>
  </si>
  <si>
    <t>Fator R</t>
  </si>
  <si>
    <t>A</t>
  </si>
  <si>
    <t>B</t>
  </si>
  <si>
    <t>X = D. Pista</t>
  </si>
  <si>
    <t>C. DIRETO / TON.</t>
  </si>
  <si>
    <t xml:space="preserve">ICMS </t>
  </si>
  <si>
    <t>Custo /ton</t>
  </si>
  <si>
    <t>X=BDI</t>
  </si>
  <si>
    <t>TABELA DE IMPOSTOS INCIDENTES NOS PRODUTOS ASFÁLTICOS</t>
  </si>
  <si>
    <t>ICMS</t>
  </si>
  <si>
    <t>PIS/PASEP</t>
  </si>
  <si>
    <t>RS</t>
  </si>
  <si>
    <t>PR</t>
  </si>
  <si>
    <t>SP</t>
  </si>
  <si>
    <t>CAP 55-75</t>
  </si>
  <si>
    <t>RC-1C</t>
  </si>
  <si>
    <t>TRANSPORTE  DE EMULSÃO ASFÁLTICA RC-1C</t>
  </si>
  <si>
    <t>PEDREIRA ECOTERRA MINERAÇÃO - VERA CRUZ</t>
  </si>
  <si>
    <t>ANP05</t>
  </si>
  <si>
    <t>TRAN05</t>
  </si>
  <si>
    <t xml:space="preserve">CORREÇÃO DE DEFEITOS POR FRESAGEM DESCONTÍNUA DO  REVESTIMENTO ASFÁLTICO NA ESPESSURA DE 4 CM, INCLUSO O TRANSPORTE DO MATERIAL - DMT  ATÉ 5KM                       
</t>
  </si>
  <si>
    <t>PN-02</t>
  </si>
  <si>
    <t>PN-01</t>
  </si>
  <si>
    <t>MICROFRESAGEM DE PAVIMENTO - ESPESSURA DE 1,0CM</t>
  </si>
  <si>
    <t>OBRA: Intervenções no Pavimento da RSC-287 em 2021</t>
  </si>
  <si>
    <t>KM 28+000 ao KM+180+000</t>
  </si>
  <si>
    <t xml:space="preserve"> 4915705              </t>
  </si>
  <si>
    <t>ABRIL/22</t>
  </si>
  <si>
    <t xml:space="preserve">CORREÇÃO DE DEFEITOS POR FRESAGEM DESCONTÍNUA DO REVESTIMENTO ASFÁLTICO NA ESPESSURA DE 4 CM, INCLUSO O TRANSPORTE DO MATERIAL - DMT ATÉ 5KM </t>
  </si>
  <si>
    <t xml:space="preserve">E9156          </t>
  </si>
  <si>
    <t xml:space="preserve">SOPRADOR DE AR COSTAL - 2,6 KW </t>
  </si>
  <si>
    <t xml:space="preserve">E9697          </t>
  </si>
  <si>
    <t xml:space="preserve">MINICARREGADEIRA DE PNEUS COM VASSOURA DE 1,8 M - 45,50 KW </t>
  </si>
  <si>
    <t xml:space="preserve">E9700          </t>
  </si>
  <si>
    <t xml:space="preserve">FRESADORA A FRIO - 155 KW </t>
  </si>
  <si>
    <t xml:space="preserve">M1970          </t>
  </si>
  <si>
    <t xml:space="preserve">DENTE DE CORTE PARA FRESADORA DE 155 KW </t>
  </si>
  <si>
    <t xml:space="preserve">M2148          </t>
  </si>
  <si>
    <t xml:space="preserve">PORTA-DENTE DE CORTE PARA FRESADORA E RECICLADORA A FRIO </t>
  </si>
  <si>
    <t xml:space="preserve">M3507          </t>
  </si>
  <si>
    <t xml:space="preserve">REVESTIMENTO ASFÁLTICO </t>
  </si>
  <si>
    <t xml:space="preserve">M3507 5914339  </t>
  </si>
  <si>
    <t xml:space="preserve">REVESTIMENTO ASFÁLTICO - CAMINHÃO BASCULANTE 6 M³ </t>
  </si>
  <si>
    <t xml:space="preserve">M3507 5914344  </t>
  </si>
  <si>
    <t xml:space="preserve"> 4011353              </t>
  </si>
  <si>
    <t xml:space="preserve">PINTURA DE LIGAÇÃO COM RR-1C, EXCETO LIGANTE </t>
  </si>
  <si>
    <t xml:space="preserve">M2    </t>
  </si>
  <si>
    <t xml:space="preserve">E9509          </t>
  </si>
  <si>
    <t xml:space="preserve">CAMINHÃO TANQUE DISTRIBUIDOR DE ASFALTO COM CAPACIDADE DE 6.000 L - 7 KW/136 KW </t>
  </si>
  <si>
    <t xml:space="preserve">E9558          </t>
  </si>
  <si>
    <t xml:space="preserve">TANQUE DE ESTOCAGEM DE ASFALTO COM CAPACIDADE DE 30.000 L </t>
  </si>
  <si>
    <t xml:space="preserve">M1946          </t>
  </si>
  <si>
    <t xml:space="preserve">EMULSÃO ASFÁLTICA - RR-1C </t>
  </si>
  <si>
    <t xml:space="preserve">t     </t>
  </si>
  <si>
    <t xml:space="preserve">TON   </t>
  </si>
  <si>
    <t xml:space="preserve">E9545          </t>
  </si>
  <si>
    <t xml:space="preserve">VIBROACABADORA DE ASFALTO SOBRE ESTEIRAS - 82 KW </t>
  </si>
  <si>
    <t xml:space="preserve">E9681          </t>
  </si>
  <si>
    <t xml:space="preserve">ROLO COMPACTADOR LISO TANDEM VIBRATÓRIO AUTOPROPELIDO DE 10,4 T - 82 KW </t>
  </si>
  <si>
    <t xml:space="preserve">E9762          </t>
  </si>
  <si>
    <t xml:space="preserve">ROLO COMPACTADOR DE PNEUS AUTOPROPELIDO DE 27 T - 85 KW </t>
  </si>
  <si>
    <t>6416248 5914649</t>
  </si>
  <si>
    <t xml:space="preserve">USINAGEM DE CONCRETO ASFÁLTICO COM ASFALTO POLÍMERO - FAIXA C - AREIA E BRITA COMERCIAIS - CAMINHÃO BASCULANTE 10 M³ </t>
  </si>
  <si>
    <t>6416248 5914389</t>
  </si>
  <si>
    <t xml:space="preserve"> 5914389              </t>
  </si>
  <si>
    <t xml:space="preserve">TRANSPORTE DE CONCRETO ASFÁLTICO </t>
  </si>
  <si>
    <t xml:space="preserve">T.KM  </t>
  </si>
  <si>
    <t xml:space="preserve">E9579          </t>
  </si>
  <si>
    <t xml:space="preserve">CAMINHÃO BASCULANTE COM CAPACIDADE DE 10 M³ - 188 KW </t>
  </si>
  <si>
    <t xml:space="preserve"> ANP04                </t>
  </si>
  <si>
    <t xml:space="preserve">FORNECIMENTO DE EMULSÃO RR-1C </t>
  </si>
  <si>
    <t xml:space="preserve">IM4417         </t>
  </si>
  <si>
    <t xml:space="preserve">EMULSÃO ASFÁLTICA RR-1C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</si>
  <si>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ANP02                </t>
  </si>
  <si>
    <t xml:space="preserve">FORNECIMENTO DE CAP 50/70 </t>
  </si>
  <si>
    <t xml:space="preserve">IM4415         </t>
  </si>
  <si>
    <t xml:space="preserve">CIMENTO ASFÁLTICO CAP 50/70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</si>
  <si>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ANP01                </t>
  </si>
  <si>
    <t xml:space="preserve">FORNECIMENTO DE CAP 55/75 </t>
  </si>
  <si>
    <t xml:space="preserve">IM4414         </t>
  </si>
  <si>
    <t xml:space="preserve">CIMENTO ASFALTICO SBS 55/75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</si>
  <si>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TRAN04               </t>
  </si>
  <si>
    <t xml:space="preserve">TRANSPORTE  DE EMULSÃO ASFÁLTICA RR-1C </t>
  </si>
  <si>
    <t xml:space="preserve">IS0243         </t>
  </si>
  <si>
    <t xml:space="preserve"> TRAN02               </t>
  </si>
  <si>
    <t xml:space="preserve">TRANSPORTE  DE CIMENTO ASFÁLTICO CAP 50/70 </t>
  </si>
  <si>
    <t xml:space="preserve">IS0241         </t>
  </si>
  <si>
    <t xml:space="preserve"> TRAN01               </t>
  </si>
  <si>
    <t xml:space="preserve">TRANSPORTE  DE CIMENTO ASFÁLTICO POLIMERO 55/75 </t>
  </si>
  <si>
    <t xml:space="preserve">IT6999         </t>
  </si>
  <si>
    <t xml:space="preserve"> PN-02                </t>
  </si>
  <si>
    <t xml:space="preserve">MICROFRESAGEM DE PAVIMENTO - CONTÍNUO, ESPESSURA DE 1,0CM </t>
  </si>
  <si>
    <t xml:space="preserve">M3    </t>
  </si>
  <si>
    <t xml:space="preserve">E9571          </t>
  </si>
  <si>
    <t xml:space="preserve">CAMINHÃO TANQUE COM CAPACIDADE DE 10.000 L - 188 KW </t>
  </si>
  <si>
    <t xml:space="preserve">E9678          </t>
  </si>
  <si>
    <t xml:space="preserve">FRESADORA A FRIO - 410 KW </t>
  </si>
  <si>
    <t xml:space="preserve">M1974          </t>
  </si>
  <si>
    <t xml:space="preserve">DENTE DE CORTE PARA FRESADORA DE 410 KW </t>
  </si>
  <si>
    <t xml:space="preserve">M3507 5914352  </t>
  </si>
  <si>
    <t xml:space="preserve">REVESTIMENTO ASFÁLTICO - CAMINHÃO BASCULANTE 10 M³ </t>
  </si>
  <si>
    <t xml:space="preserve">M3507 5914389  </t>
  </si>
  <si>
    <t xml:space="preserve"> 4011408              </t>
  </si>
  <si>
    <t xml:space="preserve">FABRICAÇÃO E APLICAÇÃO DE MICROREVESTIMENTO ASFÁLTICO 8 MM </t>
  </si>
  <si>
    <t xml:space="preserve">E9584          </t>
  </si>
  <si>
    <t xml:space="preserve">CARREGADEIRA DE PNEUS COM CAPACIDADE DE 1,72 M³ - 113 KW </t>
  </si>
  <si>
    <t xml:space="preserve">E9670          </t>
  </si>
  <si>
    <t xml:space="preserve">USINA MÓVEL DE LAMA ASFÁLTICA OU MICRORREVESTIMENTO COM CAVALO MECÂNICO COM CAPACIDADE DE 12 M³ - 95,6 KW/240 KW </t>
  </si>
  <si>
    <t xml:space="preserve">M0222          </t>
  </si>
  <si>
    <t xml:space="preserve">FILER CALCÁRIO </t>
  </si>
  <si>
    <t xml:space="preserve">M1950          </t>
  </si>
  <si>
    <t xml:space="preserve">EMULSÃO ASFÁLTICA COM POLÍMERO - RC-1C-E </t>
  </si>
  <si>
    <t xml:space="preserve">6416036        </t>
  </si>
  <si>
    <t xml:space="preserve">USINAGEM DE AGREGADOS PARA MICRORREVESTIMENTO A FRIO COM ESPESSURA DE 0,8 CM ATÉ 1,5 CM - BRITA COMERCIAL </t>
  </si>
  <si>
    <t xml:space="preserve">M0222 5914654  </t>
  </si>
  <si>
    <t xml:space="preserve">FILLER CALCÁRIO - CAMINHÃO CARROCERIA 9 T </t>
  </si>
  <si>
    <t>6416036 5915406</t>
  </si>
  <si>
    <t xml:space="preserve">USINAGEM DE AGREGADOS PARA MICRORREVESTIMENTO A FRIO COM ESPESSURA DE 0,8 CM ATÉ 1,5 CM - BRITA COMERCIAL - CAMINHÃO BASCULANTE 10 M³ </t>
  </si>
  <si>
    <t xml:space="preserve">M0222 5914434  </t>
  </si>
  <si>
    <t xml:space="preserve">FILER CALCÁRIO - CAMINHÃO CARROCERIA 9 T </t>
  </si>
  <si>
    <t>6416036 5914389</t>
  </si>
  <si>
    <t xml:space="preserve"> PN-01                </t>
  </si>
  <si>
    <t xml:space="preserve">FABRICAÇÃO E APLICAÇÃO DE MICROREVESTIMENTO ASFÁLTICO 12 MM </t>
  </si>
  <si>
    <t xml:space="preserve"> ANP05                </t>
  </si>
  <si>
    <t xml:space="preserve">FORNECIMENTO DE EMULSÃO RC-1C </t>
  </si>
  <si>
    <t xml:space="preserve">IM5036         </t>
  </si>
  <si>
    <t xml:space="preserve">EMULSÃO ASFÁLTICA RC-1C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</si>
  <si>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TRAN05               </t>
  </si>
  <si>
    <t xml:space="preserve">TRANSPORTE  DE EMULSÃO ASFÁLTICA RC-1C </t>
  </si>
  <si>
    <t xml:space="preserve">IM5037         </t>
  </si>
  <si>
    <t xml:space="preserve">M0005          </t>
  </si>
  <si>
    <t xml:space="preserve">BRITA 0 </t>
  </si>
  <si>
    <t xml:space="preserve">M0005 5914647  </t>
  </si>
  <si>
    <t xml:space="preserve">BRITA 0 - CAMINHÃO BASCULANTE 10 M³ </t>
  </si>
  <si>
    <t xml:space="preserve">M0005 5914389  </t>
  </si>
  <si>
    <t xml:space="preserve"> 6416036              </t>
  </si>
  <si>
    <t xml:space="preserve">E9617          </t>
  </si>
  <si>
    <t xml:space="preserve">USINA MISTURADORA DE PRÉ-MISTURADO A FRIO COM CAPACIDADE DE 60 T/H - 23,50 KW </t>
  </si>
  <si>
    <t xml:space="preserve">M1135          </t>
  </si>
  <si>
    <t xml:space="preserve">PÓ DE PEDRA </t>
  </si>
  <si>
    <t xml:space="preserve">M1135 5914647  </t>
  </si>
  <si>
    <t xml:space="preserve">PÓ DE PEDRA - CAMINHÃO BASCULANTE 10 M³ </t>
  </si>
  <si>
    <t xml:space="preserve">M1135 5914389  </t>
  </si>
  <si>
    <t>E9579</t>
  </si>
  <si>
    <t>E9678</t>
  </si>
  <si>
    <t>E9545</t>
  </si>
  <si>
    <t>E9681</t>
  </si>
  <si>
    <t>E9509</t>
  </si>
  <si>
    <t>E9584</t>
  </si>
  <si>
    <t>E9762</t>
  </si>
  <si>
    <t>E9670</t>
  </si>
  <si>
    <t>E9571</t>
  </si>
  <si>
    <t>E9697</t>
  </si>
  <si>
    <t>E9700</t>
  </si>
  <si>
    <t>CGCIT</t>
  </si>
  <si>
    <t>SISTEMA DE CUSTOS REFERENCIAIS DE OBRAS - SICRO</t>
  </si>
  <si>
    <t>DNIT</t>
  </si>
  <si>
    <t>Rio Grande do Sul - Abril/2022</t>
  </si>
  <si>
    <t>Código</t>
  </si>
  <si>
    <t>Descrição</t>
  </si>
  <si>
    <t>Valor de Aquisição (R$)</t>
  </si>
  <si>
    <t>Depreciação (R$/h)</t>
  </si>
  <si>
    <t>Oportunidade de Capital (R$/h)</t>
  </si>
  <si>
    <t>Seguros e Impostos (R$/h)</t>
  </si>
  <si>
    <t>Manutenção (R$/h)</t>
  </si>
  <si>
    <t>Operação (R$/h)</t>
  </si>
  <si>
    <t>Mão de Obra de Operação (R$/h)</t>
  </si>
  <si>
    <t>Custo Produtivo (R$/h)</t>
  </si>
  <si>
    <t>Custo Improdutivo (R$/h)</t>
  </si>
  <si>
    <t>E9001</t>
  </si>
  <si>
    <t>Conjunto vibratório para tubos de concreto com encaixe PB e 3 jogos de fôrmas - D = 0,60 m - 2,20 kW</t>
  </si>
  <si>
    <t>E9002</t>
  </si>
  <si>
    <t>Conjunto vibratório para tubos de concreto com encaixe PB e 3 jogos de fôrmas - D = 0,80 m - 2,20 kW</t>
  </si>
  <si>
    <t>E9003</t>
  </si>
  <si>
    <t>Conjunto vibratório para tubos de concreto com encaixe PB e 3 jogos de fôrmas - D = 1,00 m - 2,20 kW</t>
  </si>
  <si>
    <t>E9004</t>
  </si>
  <si>
    <t>Conjunto vibratório para tubos de concreto com encaixe PB e 3 jogos de fôrmas - D = 1,20 m - 2,20 kW</t>
  </si>
  <si>
    <t>E9005</t>
  </si>
  <si>
    <t>Conjunto vibratório para tubos de concreto com encaixe PB e 3 jogos de fôrmas - D = 1,50 m - 2,20 kW</t>
  </si>
  <si>
    <t>E9006</t>
  </si>
  <si>
    <t>Equipamento para sondagem manual</t>
  </si>
  <si>
    <t>E9007</t>
  </si>
  <si>
    <t>Bomba de pistão triplex com capacidade de 7,80 m³/h (130 l/min) - 8,20 kW</t>
  </si>
  <si>
    <t>E9008</t>
  </si>
  <si>
    <t>Transportador manual de tubos de concreto com capacidade de 1 t</t>
  </si>
  <si>
    <t>E9009</t>
  </si>
  <si>
    <t>Embarcação rebocadora - 268 kW</t>
  </si>
  <si>
    <t>E9010</t>
  </si>
  <si>
    <t>Balança plataforma digital com mesa de 75 x 75 cm com capacidade de 500 kg</t>
  </si>
  <si>
    <t>E9011</t>
  </si>
  <si>
    <t>Carro manual modelo plataforma de 200 x 80 cm com capacidade de 800 kg</t>
  </si>
  <si>
    <t>E9014</t>
  </si>
  <si>
    <t>Deflectômetro de impacto (FWD) instalado em picape com reboque e faixa de carga de 7 a 120 kN - 147 kW</t>
  </si>
  <si>
    <t>E9015</t>
  </si>
  <si>
    <t>Elevador de obra com capacidade de 1.000 kg - 9 kW</t>
  </si>
  <si>
    <t>E9016</t>
  </si>
  <si>
    <t>Usina misturadora móvel de reciclagem a frio com sistema de espuma de asfalto - 129 kW</t>
  </si>
  <si>
    <t>E9017</t>
  </si>
  <si>
    <t>Escavadeira hidráulica sobre esteira com capacidade de 0,4 m³ - 64 kW</t>
  </si>
  <si>
    <t>E9019</t>
  </si>
  <si>
    <t>Câmara hiperbárica com filtro, serpentina e reservatório de ar - D = 1,80 m e H = 2 m</t>
  </si>
  <si>
    <t>E9020</t>
  </si>
  <si>
    <t>Recicladora a frio - 455 kW</t>
  </si>
  <si>
    <t>E9021</t>
  </si>
  <si>
    <t>Grupo gerador - 456 kVA</t>
  </si>
  <si>
    <t>E9022</t>
  </si>
  <si>
    <t>Pórtico metálico rolante com capacidade de 25 t - 30 kW</t>
  </si>
  <si>
    <t>E9023</t>
  </si>
  <si>
    <t>Guindaste móvel sobre esteiras com dragline com capacidade de 1,9 a 2,3 m³ - 270 kW</t>
  </si>
  <si>
    <t>E9024</t>
  </si>
  <si>
    <t>Misturador de nata cimento - 1,50 kW</t>
  </si>
  <si>
    <t>E9025</t>
  </si>
  <si>
    <t>Conjunto bomba e macaco hidráulico para protensão com capacidade de 7.000 kN - 15 kW</t>
  </si>
  <si>
    <t>E9026</t>
  </si>
  <si>
    <t>Bomba para injeção de nata de cimento com capacidade de 2 MPa - 2,20 kW</t>
  </si>
  <si>
    <t>E9028</t>
  </si>
  <si>
    <t>Bomba de alta pressão para hidrojateamento com capacidade de 18 MPa - 5,20 kW</t>
  </si>
  <si>
    <t>E9029</t>
  </si>
  <si>
    <t>Conjunto bomba e macaco hidráulico para protensão com capacidade de 8.000 kN - 20 kW</t>
  </si>
  <si>
    <t>E9030</t>
  </si>
  <si>
    <t>Bomba de protensão com leitura digital para tensionamento de estais - 3 kW</t>
  </si>
  <si>
    <t>E9031</t>
  </si>
  <si>
    <t>Elevador de cremalheira com cabine simples, com capacidade de 1.500 kg e altura de até 100 m - 15 kW</t>
  </si>
  <si>
    <t>E9032</t>
  </si>
  <si>
    <t>Equipamento para regulagem final de estais com até 37 cordoalhas - D = 15,7 mm - 20 kW</t>
  </si>
  <si>
    <t>E9033</t>
  </si>
  <si>
    <t>Equipamento para regulagem final de estais de 38 a 55 cordoalhas - D = 15,7 mm - 30 kW</t>
  </si>
  <si>
    <t>E9034</t>
  </si>
  <si>
    <t>Equipamento para regulagem final de estais de 56 a 73 cordoalhas - D = 15,7 mm - 40 kW</t>
  </si>
  <si>
    <t>E9035</t>
  </si>
  <si>
    <t>Equipamento para regulagem final de estais de 74 a 91 cordoalhas - D = 15,7 mm - 50 kW</t>
  </si>
  <si>
    <t>E9036</t>
  </si>
  <si>
    <t>Grua fixa para alturas de 60 a 102 m, com alcance de 60 m com capacidade de 1.500 kg na ponta da lança - 37 kW</t>
  </si>
  <si>
    <t>E9038</t>
  </si>
  <si>
    <t>Macaco hidráulico monocordoalha para tensionamento de estais - 3 kW</t>
  </si>
  <si>
    <t>E9039</t>
  </si>
  <si>
    <t>Máquina de solda por termofusão para tubos PEAD com gerador de 4 kW</t>
  </si>
  <si>
    <t>E9040</t>
  </si>
  <si>
    <t>Serra mármore - 1,45 kW</t>
  </si>
  <si>
    <t>E9042</t>
  </si>
  <si>
    <t>Trator sobre esteiras com lâmina - 97 kW</t>
  </si>
  <si>
    <t>E9043</t>
  </si>
  <si>
    <t>Embarcação de alumínio com comprimento de 6 m e motor de popa - 18,60 kW</t>
  </si>
  <si>
    <t>E9044</t>
  </si>
  <si>
    <t>Central de concreto com capacidade de 150 m³/h - dosadora e misturadora</t>
  </si>
  <si>
    <t>E9045</t>
  </si>
  <si>
    <t>Conjunto bomba e macaco hidráulico para elevação com capacidade de 496 kN</t>
  </si>
  <si>
    <t>E9046</t>
  </si>
  <si>
    <t>Conjunto bomba e macaco hidráulico para elevação com capacidade de 929 kN</t>
  </si>
  <si>
    <t>E9047</t>
  </si>
  <si>
    <t>Conjunto bomba e macaco hidráulico para elevação com capacidade de 1.390 kN</t>
  </si>
  <si>
    <t>E9048</t>
  </si>
  <si>
    <t>Conjunto bomba e macaco hidráulico para elevação com capacidade de 1.859 kN</t>
  </si>
  <si>
    <t>E9049</t>
  </si>
  <si>
    <t>Bomba de alta pressão para hidrojateamento com capacidade de 250 MPa - 72 kW</t>
  </si>
  <si>
    <t>E9050</t>
  </si>
  <si>
    <t>Guindaste móvel sobre pneus com 2 eixos com capacidade de 18 t - 75 kW</t>
  </si>
  <si>
    <t>E9051</t>
  </si>
  <si>
    <t>Máquina levantadora e posicionadora de via - 7,40 kW</t>
  </si>
  <si>
    <t>E9052</t>
  </si>
  <si>
    <t>Empilhadeira a diesel com capacidade de 10 t - 82 kW</t>
  </si>
  <si>
    <t>E9053</t>
  </si>
  <si>
    <t>Perfuratriz hidráulica montada em flutuante - 32 kW</t>
  </si>
  <si>
    <t>E9054</t>
  </si>
  <si>
    <t>Equipamento sobre forma-trilho para execução e acabamento de pavimento de concreto - 13,40 kW</t>
  </si>
  <si>
    <t>E9055</t>
  </si>
  <si>
    <t>Guincho pneumático com capacidade de 2,5 t</t>
  </si>
  <si>
    <t>E9056</t>
  </si>
  <si>
    <t>Plataforma autoelevatória de 12 x 24 m com capacidade de 150 t</t>
  </si>
  <si>
    <t>E9057</t>
  </si>
  <si>
    <t>Batelão sem propulsão com capacidade de 66 m³</t>
  </si>
  <si>
    <t>E9058</t>
  </si>
  <si>
    <t>Plataforma flutuante de 12 x 24 x 1,8 m com capacidade de 150 t</t>
  </si>
  <si>
    <t>E9059</t>
  </si>
  <si>
    <t>Plataforma autoelevatória de 12 x 24 m montada na obra com capacidade de 150 t</t>
  </si>
  <si>
    <t>E9060</t>
  </si>
  <si>
    <t>Perfuratriz pneumática rotopercussiva montada em flutuante com pressão de 0,70 MPa e capacidade de 2.500 gpm</t>
  </si>
  <si>
    <t>E9061</t>
  </si>
  <si>
    <t>Lixadeira elétrica manual angular - 2 kW</t>
  </si>
  <si>
    <t>E9062</t>
  </si>
  <si>
    <t>Soprador de ar quente manual - 1,60 kW</t>
  </si>
  <si>
    <t>E9063</t>
  </si>
  <si>
    <t>Equipamento de estabilização dinâmica da via - 300 kW</t>
  </si>
  <si>
    <t>E9064</t>
  </si>
  <si>
    <t>Transportador manual gerica com capacidade de 180 l</t>
  </si>
  <si>
    <t>E9065</t>
  </si>
  <si>
    <t>Carro controle ferroviário - 186 kW</t>
  </si>
  <si>
    <t>E9066</t>
  </si>
  <si>
    <t>Grupo gerador - 13/14 kVA</t>
  </si>
  <si>
    <t>E9067</t>
  </si>
  <si>
    <t>Veículo ferroviário para capina química com capacidade de 12.000 l - 115 kW</t>
  </si>
  <si>
    <t>E9068</t>
  </si>
  <si>
    <t>Perfuratriz hidráulica rotopercussiva para CCPH - 123 kW</t>
  </si>
  <si>
    <t>E9069</t>
  </si>
  <si>
    <t>Vibrador de imersão para concreto - 4,10 kW</t>
  </si>
  <si>
    <t>E9070</t>
  </si>
  <si>
    <t>Ponte rolante com capacidade de 5 t e vão de até 15 m - 10 kW</t>
  </si>
  <si>
    <t>E9071</t>
  </si>
  <si>
    <t>Transportador manual carrinho de mão com capacidade de 80 l</t>
  </si>
  <si>
    <t>E9072</t>
  </si>
  <si>
    <t>Martelo hidráulico vibratório com unidade hidráulica - 486 kW</t>
  </si>
  <si>
    <t>E9073</t>
  </si>
  <si>
    <t>Bomba de concreto rebocável com capacidade de 30 m³/h - 74 kW</t>
  </si>
  <si>
    <t>E9074</t>
  </si>
  <si>
    <t>Tanque de estocagem de asfalto com agitadores de 60.000 l</t>
  </si>
  <si>
    <t>E9075</t>
  </si>
  <si>
    <t>Trado cavadeira de 12"</t>
  </si>
  <si>
    <t>E9076</t>
  </si>
  <si>
    <t>Equipamento para pintura eletrostática com cabine dupla de 7,00 kW e estufa de 80.000 kCal</t>
  </si>
  <si>
    <t>E9077</t>
  </si>
  <si>
    <t>Perfuratriz de circulação reversa tipo Wirth ou similar com unidade hidráulica (Power Pack) - 273 kW</t>
  </si>
  <si>
    <t>E9078</t>
  </si>
  <si>
    <t>Treliça lançadeira com capacidade de carga de 100 a 120 t e vão máximo de 45 m - 110 kW</t>
  </si>
  <si>
    <t>E9079</t>
  </si>
  <si>
    <t>Bomba submersível com capacidade de 360 m³/h - 23 kW</t>
  </si>
  <si>
    <t>E9080</t>
  </si>
  <si>
    <t>Carrelone com capacidade máxima de 70 t</t>
  </si>
  <si>
    <t>E9081</t>
  </si>
  <si>
    <t>Fischietti simples com capacidade de 70 t</t>
  </si>
  <si>
    <t>E9083</t>
  </si>
  <si>
    <t>Vagão fechado FLT com capacidade de 99 t</t>
  </si>
  <si>
    <t>E9084</t>
  </si>
  <si>
    <t>Vagão tanque convencional TCT com capacidade de 97 t e 103.000 l</t>
  </si>
  <si>
    <t>E9085</t>
  </si>
  <si>
    <t>Vagão gôndola GDE com capacidade de 93,5 t / 29 m³</t>
  </si>
  <si>
    <t>E9086</t>
  </si>
  <si>
    <t>Bomba de concreto rebocável com capacidade de 41 m³/h - 74 kW</t>
  </si>
  <si>
    <t>E9089</t>
  </si>
  <si>
    <t>Roçadeira costal - 1,40 kW</t>
  </si>
  <si>
    <t>E9091</t>
  </si>
  <si>
    <t>Embarcação empurradora fluvial - 372 kW</t>
  </si>
  <si>
    <t>E9094</t>
  </si>
  <si>
    <t>Guindaste móvel sobre pneus com 6 eixos com capacidade máxima de 350 t - 450 kW</t>
  </si>
  <si>
    <t>E9095</t>
  </si>
  <si>
    <t>Guindaste móvel sobre pneus com 8 eixos com capacidade máxima de 500 t - 500 kW</t>
  </si>
  <si>
    <t>E9096</t>
  </si>
  <si>
    <t>Minicarregadeira de pneus - 45,50 kW</t>
  </si>
  <si>
    <t>E9101</t>
  </si>
  <si>
    <t>Removedora de faixas de sinalização viária - 9,69 kW</t>
  </si>
  <si>
    <t>E9102</t>
  </si>
  <si>
    <t>Extrusora para sarjeta de concreto - 10,44 kW</t>
  </si>
  <si>
    <t>E9103</t>
  </si>
  <si>
    <t>Extrusora para meio-fio de concreto - 10,44 kW</t>
  </si>
  <si>
    <t>E9105</t>
  </si>
  <si>
    <t>Embarcação empurradora multipropósito - 2 x 186 kW</t>
  </si>
  <si>
    <t>E9106</t>
  </si>
  <si>
    <t>Balsa de convés com capacidade de 200 t</t>
  </si>
  <si>
    <t>E9107</t>
  </si>
  <si>
    <t>Compactador manual com soquete vibratório - 2,24 kW</t>
  </si>
  <si>
    <t>E9108</t>
  </si>
  <si>
    <t>Soldadora de trilho por caldeamento na via - 400 kW</t>
  </si>
  <si>
    <t>E9110</t>
  </si>
  <si>
    <t>Escavadeira hidráulica sobre esteiras para rocha com caçamba com capacidade de 1,56 m³ - 118 kW</t>
  </si>
  <si>
    <t>E9111</t>
  </si>
  <si>
    <t>Jateador abrasivo úmido com capacidade de 350 kg de abrasivo</t>
  </si>
  <si>
    <t>E9112</t>
  </si>
  <si>
    <t>Sinalizador direcional móvel com sistema fotovoltaico de energia e montado em chassi sobre pneus</t>
  </si>
  <si>
    <t>E9113</t>
  </si>
  <si>
    <t>Painel de Mensagem Variável - PMV móvel, com sistema fotovoltaico de energia e montado em chassi sobre pneus</t>
  </si>
  <si>
    <t>E9116</t>
  </si>
  <si>
    <t>Semáforo móvel com 3 lentes e bateria - D = 200 mm</t>
  </si>
  <si>
    <t>E9117</t>
  </si>
  <si>
    <t>Carregadeira de pneus para rocha com capacidade de 2,50 m³ - 105 kW</t>
  </si>
  <si>
    <t>E9118</t>
  </si>
  <si>
    <t>Cortadora de pavimento com disco diamantado de 450 a 1.500 mm - 55,40 kW</t>
  </si>
  <si>
    <t>E9119</t>
  </si>
  <si>
    <t>Minicarregadeira sobre pneus com valetadeira - 55,40 kW</t>
  </si>
  <si>
    <t>E9120</t>
  </si>
  <si>
    <t>Equipamento de cravação sobre esteira para geodreno com haste para profundidade de até 20 m - 258 kW</t>
  </si>
  <si>
    <t>E9121</t>
  </si>
  <si>
    <t>Plataforma elevatória articulada elétrica com alcance de 6 m com capacidade de 500 kg - 1,5 kW</t>
  </si>
  <si>
    <t>E9122</t>
  </si>
  <si>
    <t>Perfuratriz tipo Bottom Feed para coluna de brita - 194 kW</t>
  </si>
  <si>
    <t>Veículo tipo van furgão com capacidade de 1,54 t - 93 kW</t>
  </si>
  <si>
    <t>E9126</t>
  </si>
  <si>
    <t>Draga backhoe com capacidade de 7 m³ - 1.000 kW</t>
  </si>
  <si>
    <t>E9127</t>
  </si>
  <si>
    <t>Escavadeira hidráulica com martelo hidráulico de 520 kg - 75 kW</t>
  </si>
  <si>
    <t>E9134</t>
  </si>
  <si>
    <t>Miniônibus com capacidade para 30 passageiros - 111 kW</t>
  </si>
  <si>
    <t>E9141</t>
  </si>
  <si>
    <t>Rebarbador hidráulico com bomba manual com capacidade de força de 9.000 kgf</t>
  </si>
  <si>
    <t>E9144</t>
  </si>
  <si>
    <t>Pórtico metálico rolante com talha com capacidade de 5 t - 10 kW</t>
  </si>
  <si>
    <t>E9148</t>
  </si>
  <si>
    <t>Macaco de protensão de fios com bomba - 3,72 kW</t>
  </si>
  <si>
    <t>E9149</t>
  </si>
  <si>
    <t>Máquina de aplicação e extração de grampo elástico tipo Pandrol - 6,70 kW</t>
  </si>
  <si>
    <t>E9151</t>
  </si>
  <si>
    <t>Britador de mandíbulas móvel sobre esteiras, sem peneira, com capacidade de 140 m³/h - 170 kW</t>
  </si>
  <si>
    <t>E9152</t>
  </si>
  <si>
    <t>Ferramenta de fixação à pólvora de ação direta</t>
  </si>
  <si>
    <t>E9153</t>
  </si>
  <si>
    <t>Ferramenta de fixação à pólvora e sistema à pistão</t>
  </si>
  <si>
    <t>E9154</t>
  </si>
  <si>
    <t>Equipamento para selagem com material asfáltico rebocável com capacidade de 370 l - 35 kW</t>
  </si>
  <si>
    <t>E9155</t>
  </si>
  <si>
    <t>Caldeira de asfalto rebocável com capacidade de 600 l - 5,20 kW</t>
  </si>
  <si>
    <t>E9156</t>
  </si>
  <si>
    <t>Soprador de ar costal - 2,6 kW</t>
  </si>
  <si>
    <t>E9157</t>
  </si>
  <si>
    <t>Locomotiva diesel-elétrica CC - bitola métrica - 2.237 kW</t>
  </si>
  <si>
    <t>E9158</t>
  </si>
  <si>
    <t>Locomotiva diesel-elétrica CC - bitola larga - 2.237 kW</t>
  </si>
  <si>
    <t>E9159</t>
  </si>
  <si>
    <t>Vagão plataforma PNE com capacidade de 82 t - bitola métrica</t>
  </si>
  <si>
    <t>E9160</t>
  </si>
  <si>
    <t>Vagão plataforma PNT com capacidade de 98 t - bitola larga</t>
  </si>
  <si>
    <t>E9161</t>
  </si>
  <si>
    <t>Vagão fechado com porta para carga e descarga de paletes FLD com capacidade de 64 t - bitola métrica</t>
  </si>
  <si>
    <t>E9162</t>
  </si>
  <si>
    <t>Vagão fechado com porta para carga e descarga de paletes FLT com capacidade de 99 t - bitola larga</t>
  </si>
  <si>
    <t>E9163</t>
  </si>
  <si>
    <t>Vagão hopper aberto com descarga automática HNE com capacidade de 45 m³ - bitola métrica</t>
  </si>
  <si>
    <t>E9164</t>
  </si>
  <si>
    <t>Vagão hopper aberto com descarga automática HNT com capacidade de 63 m³ - bitola larga</t>
  </si>
  <si>
    <t>E9167</t>
  </si>
  <si>
    <t>Equipamento para carga e descarga de TLS de até 250 m - 90 kW</t>
  </si>
  <si>
    <t>E9168</t>
  </si>
  <si>
    <t>Carregadeira de pneus com implemento de garfo - 195 kW</t>
  </si>
  <si>
    <t>E9200</t>
  </si>
  <si>
    <t>Carregadeira de pneus para rocha com capacidade de 2,50 m³ - 105 kW com periculosidade</t>
  </si>
  <si>
    <t>E9203</t>
  </si>
  <si>
    <t>Escavadeira hidráulica com martelo hidráulico de 1.700 kg - 103 kW com periculosidade</t>
  </si>
  <si>
    <t>E9204</t>
  </si>
  <si>
    <t>Perfuratriz sobre esteiras - 145 kW com periculosidade</t>
  </si>
  <si>
    <t>E9205</t>
  </si>
  <si>
    <t>Equipamento de corte a plasma CNC - 12.000 x 5.500 mm - 19,5 kW</t>
  </si>
  <si>
    <t>E9206</t>
  </si>
  <si>
    <t>Equipamento de solda MIG automática com acessórios - 14,6 kVA</t>
  </si>
  <si>
    <t>E9207</t>
  </si>
  <si>
    <t>Máquina de solda elétrica retificadora 425 A - 18,70 kW</t>
  </si>
  <si>
    <t>E9209</t>
  </si>
  <si>
    <t>Martelete perfurador/rompedor a ar comprimido de 25 kg para rocha, com insalubridade, com capacidade de 2.040 gpm</t>
  </si>
  <si>
    <t>E9213</t>
  </si>
  <si>
    <t>Jumbo eletro-hidráulico com 3 braços - 155 kW/237 kW com periculosidade</t>
  </si>
  <si>
    <t>E9251</t>
  </si>
  <si>
    <t>Fonte de plasma para corte manual - 65A - 15 kW</t>
  </si>
  <si>
    <t>E9252</t>
  </si>
  <si>
    <t>Serra de esquadria com braço telescópico - D = 250 mm (10") - 1,80 kW</t>
  </si>
  <si>
    <t>E9253</t>
  </si>
  <si>
    <t>Rebordeadeira diâmetro máximo 3,00 m - 4,85 kW</t>
  </si>
  <si>
    <t>E9254</t>
  </si>
  <si>
    <t>Dobradeira viradeira manual comprimento máximo de dobra de até 2.000 mm</t>
  </si>
  <si>
    <t>E9255</t>
  </si>
  <si>
    <t>Fonte de plasma para corte manual - 45A - 10 kW</t>
  </si>
  <si>
    <t>E9256</t>
  </si>
  <si>
    <t>Equipamento para pintura com cal rebocável com dois bicos aplicadores e capacidade de 2.200 l</t>
  </si>
  <si>
    <t>E9501</t>
  </si>
  <si>
    <t>Ventilador axial para ventilação forçada com velocidade de saída de 32,8 m/s - D = 1.000 mm - 30 kW</t>
  </si>
  <si>
    <t>E9502</t>
  </si>
  <si>
    <t>Bate-estaca de gravidade para 6 t - 119 kW</t>
  </si>
  <si>
    <t>E9503</t>
  </si>
  <si>
    <t>Guilhotina hidráulica 16 x 6.100 mm - 30 kW</t>
  </si>
  <si>
    <t>E9505</t>
  </si>
  <si>
    <t>Prensa dobradeira capacidade 320 t - comprimento até 3.100 mm - 30 kW</t>
  </si>
  <si>
    <t>E9507</t>
  </si>
  <si>
    <t>Plotadora de recorte com computador e programa computacional</t>
  </si>
  <si>
    <t>E9510</t>
  </si>
  <si>
    <t>Ventilador centrífugo baixa pressão com capacidade de 58 m³/min - 3,68 kW</t>
  </si>
  <si>
    <t>E9511</t>
  </si>
  <si>
    <t>Carregadeira de pneus com capacidade de 3,40 m³ - 195 kW</t>
  </si>
  <si>
    <t>E9512</t>
  </si>
  <si>
    <t>Veículo leve - 53 kW</t>
  </si>
  <si>
    <t>E9513</t>
  </si>
  <si>
    <t>Compressor de ar portátil de 160,46 l/s (340 PCM) - 81 kW</t>
  </si>
  <si>
    <t>E9514</t>
  </si>
  <si>
    <t>Distribuidor de agregados sobre pneus autopropelido - 130 kW</t>
  </si>
  <si>
    <t>Escavadeira hidráulica sobre esteiras com caçamba com capacidade de 1,56 m³ - 118 kW</t>
  </si>
  <si>
    <t>E9516</t>
  </si>
  <si>
    <t>Perfuratriz hidráulica sobre esteiras - 283 kW</t>
  </si>
  <si>
    <t>E9517</t>
  </si>
  <si>
    <t>Compressor de ar portátil de 430,42 l/s (912 PCM) - 242 kW</t>
  </si>
  <si>
    <t>E9518</t>
  </si>
  <si>
    <t>Grade de 24 discos rebocável de D = 60 cm (24")</t>
  </si>
  <si>
    <t>Betoneira com motor a gasolina com capacidade de 600 l - 10 kW</t>
  </si>
  <si>
    <t>E9521</t>
  </si>
  <si>
    <t>Grupo gerador - 2,5/3 kVA</t>
  </si>
  <si>
    <t>E9522</t>
  </si>
  <si>
    <t>Caldeira de asfalto rebocável com capacidade de 1.500 l - 6,5 kW</t>
  </si>
  <si>
    <t>E9523</t>
  </si>
  <si>
    <t>Motoscraper - 304 kW</t>
  </si>
  <si>
    <t>E9524</t>
  </si>
  <si>
    <t>Motoniveladora - 93 kW</t>
  </si>
  <si>
    <t>E9525</t>
  </si>
  <si>
    <t>Ponte rolante com capacidade de 15 t e vão de até 15 m - 20 kW</t>
  </si>
  <si>
    <t>E9526</t>
  </si>
  <si>
    <t>Retroescavadeira de pneus com capacidade de 0,76 m³ - 58 kW</t>
  </si>
  <si>
    <t>E9527</t>
  </si>
  <si>
    <t>Martelete perfurador/rompedor a ar comprimido de 25 kg para rocha com capacidade de 2.040 gpm</t>
  </si>
  <si>
    <t>E9528</t>
  </si>
  <si>
    <t>Empilhadeira a diesel com capacidade de 4 t - 60 kW</t>
  </si>
  <si>
    <t>E9529</t>
  </si>
  <si>
    <t>Jateador para estruturas metálicas com transportador a roletes - 22 kW</t>
  </si>
  <si>
    <t>E9530</t>
  </si>
  <si>
    <t>Rolo compactador liso vibratório autopropelido por pneus de 11 t - 97 kW</t>
  </si>
  <si>
    <t>E9532</t>
  </si>
  <si>
    <t>Equipamento de solda MIG com acessórios - 14,6 kVA</t>
  </si>
  <si>
    <t>E9535</t>
  </si>
  <si>
    <t>Serra circular com bancada - D = 30 cm - 4 kW</t>
  </si>
  <si>
    <t>E9536</t>
  </si>
  <si>
    <t>Embarcação de transporte de pessoal e apoio logístico - 30 kW</t>
  </si>
  <si>
    <t>E9538</t>
  </si>
  <si>
    <t>Conjunto vibratório para meio tubo de concreto com encaixe PB e 3 jogos de fôrmas - D = 0,30 m - 2,20 kW</t>
  </si>
  <si>
    <t>E9539</t>
  </si>
  <si>
    <t>Equipamento de batimetria monofeixe</t>
  </si>
  <si>
    <t>Trator sobre esteiras com lâmina - 127 kW</t>
  </si>
  <si>
    <t>E9541</t>
  </si>
  <si>
    <t>Trator sobre esteiras com lâmina - 259 kW</t>
  </si>
  <si>
    <t>E9543</t>
  </si>
  <si>
    <t>Compressor de ar respirável para recarga de cilindros de mergulho com capacidade de até 35 MPa e 3,58 l/s - 5,52 kW</t>
  </si>
  <si>
    <t>E9544</t>
  </si>
  <si>
    <t>Vassoura mecânica rebocável com largura de 2,44 m</t>
  </si>
  <si>
    <t>Vibroacabadora de asfalto sobre esteiras - 82 kW</t>
  </si>
  <si>
    <t>E9547</t>
  </si>
  <si>
    <t>Máquina de solda elétrica transformadora 250 A - 9,20 kW</t>
  </si>
  <si>
    <t>E9548</t>
  </si>
  <si>
    <t>Bomba centrífuga com capacidade de 8,6 a 22 m³/h - 1,50 kW</t>
  </si>
  <si>
    <t>E9551</t>
  </si>
  <si>
    <t>Obturador mecânico simples com extensão de 12 m</t>
  </si>
  <si>
    <t>E9552</t>
  </si>
  <si>
    <t>Nível ótico com capacidade de aumento de 32x</t>
  </si>
  <si>
    <t>E9553</t>
  </si>
  <si>
    <t>Estação total eletrônica com alcance máximo de 3.000 m</t>
  </si>
  <si>
    <t>E9556</t>
  </si>
  <si>
    <t>Compactador manual de placa vibratória - 3,00 kW</t>
  </si>
  <si>
    <t>E9558</t>
  </si>
  <si>
    <t>Tanque de estocagem de asfalto com capacidade de 30.000 l</t>
  </si>
  <si>
    <t>E9559</t>
  </si>
  <si>
    <t>Aquecedor de fluido térmico - 12 kW</t>
  </si>
  <si>
    <t>E9560</t>
  </si>
  <si>
    <t>Ônibus com capacidade para 80 passageiros - 175 kW</t>
  </si>
  <si>
    <t>E9561</t>
  </si>
  <si>
    <t>GPS geodésico de simples frequência (L1)</t>
  </si>
  <si>
    <t>E9562</t>
  </si>
  <si>
    <t>GPS geodésico de dupla frequência (L1/L2)</t>
  </si>
  <si>
    <t>E9563</t>
  </si>
  <si>
    <t>Perfuratriz hidráulica sobre esteiras com clamshell - 220 kW</t>
  </si>
  <si>
    <t>E9565</t>
  </si>
  <si>
    <t>Trator sobre esteiras com lâmina e escarificador - 259 kW</t>
  </si>
  <si>
    <t>E9566</t>
  </si>
  <si>
    <t>Guindaste móvel sobre esteiras com clamshell de 1,9 m³ - 220 kW</t>
  </si>
  <si>
    <t>E9567</t>
  </si>
  <si>
    <t>Fresadora de piso de concreto - 6,7 kW</t>
  </si>
  <si>
    <t>E9568</t>
  </si>
  <si>
    <t>Furadeira de impacto de 12,5 mm - 0,80 kW</t>
  </si>
  <si>
    <t>E9569</t>
  </si>
  <si>
    <t>Guindaste móvel sobre esteiras com clamshell de 4,6 m³ - 403 kW</t>
  </si>
  <si>
    <t>E9570</t>
  </si>
  <si>
    <t>Furadeira com base magnética - 1,20 kW</t>
  </si>
  <si>
    <t>Perfuratriz sobre esteiras - 145 kW</t>
  </si>
  <si>
    <t>E9576</t>
  </si>
  <si>
    <t>Escavadeira hidráulica de longo alcance sobre esteiras - 103 kW</t>
  </si>
  <si>
    <t>E9577</t>
  </si>
  <si>
    <t>Trator agrícola sobre pneus - 77 kW</t>
  </si>
  <si>
    <t>E9578</t>
  </si>
  <si>
    <t>Conjunto vibratório para meio tubo de concreto com encaixe PB e 3 jogos de fôrmas - D = 0,40 m - 2,20 kW</t>
  </si>
  <si>
    <t>E9580</t>
  </si>
  <si>
    <t>Fresadora e distribuidora com controle de greide - 287 kW</t>
  </si>
  <si>
    <t>E9581</t>
  </si>
  <si>
    <t>Carregadeira de pneus para rocha com capacidade de 1,72 m³ - 113 kW</t>
  </si>
  <si>
    <t>E9583</t>
  </si>
  <si>
    <t>Distribuidor de agregados rebocável com capacidade de 1,9 m³</t>
  </si>
  <si>
    <t>Carregadeira de pneus com capacidade de 1,72 m³ - 113 kW</t>
  </si>
  <si>
    <t>E9585</t>
  </si>
  <si>
    <t>Motosserra com motor a gasolina - 2,30 kW</t>
  </si>
  <si>
    <t>E9586</t>
  </si>
  <si>
    <t>Régua vibratória dupla com 4 m - 4,10 kW</t>
  </si>
  <si>
    <t>E9587</t>
  </si>
  <si>
    <t>Serra para corte de concreto - 4 kW</t>
  </si>
  <si>
    <t>E9588</t>
  </si>
  <si>
    <t>Vibroacabadora de concreto sobre esteiras com fôrmas deslizantes - 205 kW</t>
  </si>
  <si>
    <t>E9589</t>
  </si>
  <si>
    <t>Máquina texturizadora e aplicadora de cura química em pavimento de concreto - 44,80 kW</t>
  </si>
  <si>
    <t>E9590</t>
  </si>
  <si>
    <t>Central de concreto com capacidade de 40 m³/h - dosadora fixa</t>
  </si>
  <si>
    <t>E9591</t>
  </si>
  <si>
    <t>Serra para corte de concreto e asfalto - 10 kW</t>
  </si>
  <si>
    <t>E9593</t>
  </si>
  <si>
    <t>Draga hopper com capacidade de 750 m³</t>
  </si>
  <si>
    <t>E9594</t>
  </si>
  <si>
    <t>Draga hopper com capacidade de 1.000 m³</t>
  </si>
  <si>
    <t>E9595</t>
  </si>
  <si>
    <t>Draga hopper com capacidade de 2.000 m³</t>
  </si>
  <si>
    <t>E9596</t>
  </si>
  <si>
    <t>Draga hopper com capacidade de 3.000 m³</t>
  </si>
  <si>
    <t>E9597</t>
  </si>
  <si>
    <t>Draga hopper com capacidade de 4.000 m³</t>
  </si>
  <si>
    <t>E9598</t>
  </si>
  <si>
    <t>Draga hopper com capacidade de 5.000 m³</t>
  </si>
  <si>
    <t>E9599</t>
  </si>
  <si>
    <t>Central de concreto com capacidade de 30 m³/h - dosadora RS</t>
  </si>
  <si>
    <t>E9601</t>
  </si>
  <si>
    <t>Embarcação de transporte de pessoal e apoio logístico - 130 kW</t>
  </si>
  <si>
    <t>E9603</t>
  </si>
  <si>
    <t>Embarcação empurradora multipropósito com guindaste hidráulico de 74 kN.m - 165 kW</t>
  </si>
  <si>
    <t>E9606</t>
  </si>
  <si>
    <t>Embarcação rebocadora - 2 x 268 kW</t>
  </si>
  <si>
    <t>E9607</t>
  </si>
  <si>
    <t>Conjunto de britagem para rachão com capacidade de 80 m³/h - 224 kW</t>
  </si>
  <si>
    <t>E9609</t>
  </si>
  <si>
    <t>Draga de sucção para extração de areia com tubo de descarga de 150 mm - 100 kW</t>
  </si>
  <si>
    <t>E9610</t>
  </si>
  <si>
    <t>Compressor de ar portátil de 42,48 l/s (90 PCM) - 18,50 kW</t>
  </si>
  <si>
    <t>E9611</t>
  </si>
  <si>
    <t>Conjunto de britagem com capacidade de 80 m³/h - 313 kW</t>
  </si>
  <si>
    <t>E9612</t>
  </si>
  <si>
    <t>Plataforma flutuante montada na obra de 12 x 24 x 1,8 m com capacidade de 150 t</t>
  </si>
  <si>
    <t>E9613</t>
  </si>
  <si>
    <t>Guindaste móvel sobre esteiras com pinça com capacidade de 40 t - 186 kW</t>
  </si>
  <si>
    <t>E9614</t>
  </si>
  <si>
    <t>Bomba com capacidade de 136 m³/h e câmara de vácuo - 5,60 kW</t>
  </si>
  <si>
    <t>E9615</t>
  </si>
  <si>
    <t>Usina misturadora de solos com capacidade de 300 t/h - 44 kW</t>
  </si>
  <si>
    <t>E9617</t>
  </si>
  <si>
    <t>Usina misturadora de pré-misturado a frio com capacidade de 60 t/h - 23,50 kW</t>
  </si>
  <si>
    <t>E9618</t>
  </si>
  <si>
    <t>Batelão autopropelido com capacidade de 300 m³ - 224 kW</t>
  </si>
  <si>
    <t>E9619</t>
  </si>
  <si>
    <t>Batelão autopropelido com capacidade de 500 m³ - 373 kW</t>
  </si>
  <si>
    <t>E9620</t>
  </si>
  <si>
    <t>Pontão flutuante de 15 x 30 x 1,8 m com capacidade de 500 t</t>
  </si>
  <si>
    <t>E9621</t>
  </si>
  <si>
    <t>Bomba de injeção de argamassa e nata com capacidade de 1,08 m³/h (18 l/min) e misturador com tambor de 0,100 m³ - 6,20 kW</t>
  </si>
  <si>
    <t>E9622</t>
  </si>
  <si>
    <t>Máquina de bancada universal para corte de chapa - 1,50 kW</t>
  </si>
  <si>
    <t>E9623</t>
  </si>
  <si>
    <t>Máquina de bancada guilhotina - 4,00 kW</t>
  </si>
  <si>
    <t>E9624</t>
  </si>
  <si>
    <t>Draga hopper com capacidade de 10.000 m³</t>
  </si>
  <si>
    <t>E9625</t>
  </si>
  <si>
    <t>Draga hopper com capacidade de 15.000 m³</t>
  </si>
  <si>
    <t>E9626</t>
  </si>
  <si>
    <t>Draga hopper com capacidade de 20.000 m³</t>
  </si>
  <si>
    <t>E9627</t>
  </si>
  <si>
    <t>Embarcação hotel com capacidade para 15 pessoas - 199 kW</t>
  </si>
  <si>
    <t>E9628</t>
  </si>
  <si>
    <t>Fábrica de pré-moldado de concreto para balizador - 2,20 kW</t>
  </si>
  <si>
    <t>E9629</t>
  </si>
  <si>
    <t>Compressor de ar portátil de 185,95 l/s (394 PCM) - 81,50 kW</t>
  </si>
  <si>
    <t>E9630</t>
  </si>
  <si>
    <t>Bomba submersível com capacidade de 75 m³/h - 3,6 kW</t>
  </si>
  <si>
    <t>E9631</t>
  </si>
  <si>
    <t>Bomba para concreto projetado via seca com capacidade de 6 m³/h - 7,5 kW</t>
  </si>
  <si>
    <t>E9632</t>
  </si>
  <si>
    <t>Conjunto vibratório para tubos de concreto com encaixe PB e 3 jogos de fôrmas - D = 0,20 m - 2,20 kW</t>
  </si>
  <si>
    <t>E9633</t>
  </si>
  <si>
    <t>Conjunto vibratório para tubos de concreto com encaixe PB e 3 jogos de fôrmas - D = 0,30 m - 2,20 kW</t>
  </si>
  <si>
    <t>E9634</t>
  </si>
  <si>
    <t>Conjunto vibratório para tubos de concreto com encaixe PB e 3 jogos de fôrmas - D = 0,40 m - 2,20 kW</t>
  </si>
  <si>
    <t>E9635</t>
  </si>
  <si>
    <t>Draga de sucção e recalque com potência da bomba de 294 kW e cortador de 30 kW</t>
  </si>
  <si>
    <t>E9636</t>
  </si>
  <si>
    <t>Draga de sucção e recalque com potência da bomba de 483 kW e cortador de 55 kW</t>
  </si>
  <si>
    <t>E9637</t>
  </si>
  <si>
    <t>Draga de sucção e recalque com potência da bomba de 746 kW e cortador de 110 kW</t>
  </si>
  <si>
    <t>E9638</t>
  </si>
  <si>
    <t>Draga de sucção e recalque com potência da bomba de 1.350 kW e cortador de 170 kW</t>
  </si>
  <si>
    <t>E9639</t>
  </si>
  <si>
    <t>Embarcação hotel com capacidade para 30 pessoas - 2 x 112 kW</t>
  </si>
  <si>
    <t>E9640</t>
  </si>
  <si>
    <t>Compressor de ar portátil de 33,51 l/s (71 PCM) - 14 kW</t>
  </si>
  <si>
    <t>E9641</t>
  </si>
  <si>
    <t>Compressor de ar portátil de 75,04 l/s (159 PCM) - 33 kW</t>
  </si>
  <si>
    <t>Perfuratriz hidráulica sobre esteiras para estaca raiz - 56 kW</t>
  </si>
  <si>
    <t>E9643</t>
  </si>
  <si>
    <t>Equipamento para pintura a ar comprimido de pistola com caneca com capacidade de 1.000 ml e compressor de 1,50 kW</t>
  </si>
  <si>
    <t>E9646</t>
  </si>
  <si>
    <t>Compressor de ar portátil de 58,52 l/s (124 PCM) - 27 kW</t>
  </si>
  <si>
    <t>E9647</t>
  </si>
  <si>
    <t>Compactador manual com soquete vibratório - 4,10 kW</t>
  </si>
  <si>
    <t>Compressor de ar portátil de 422,86 l/s (896 PCM) - 213 kW</t>
  </si>
  <si>
    <t>E9649</t>
  </si>
  <si>
    <t>Compressor de ar portátil de 94,39 l/s (200 PCM) - 36 kW</t>
  </si>
  <si>
    <t>E9651</t>
  </si>
  <si>
    <t>Guindaste móvel sobre esteiras com Hammer Grab - 186 kW</t>
  </si>
  <si>
    <t>E9652</t>
  </si>
  <si>
    <t>Compressor de ar portátil de 540,85 l/s (1.146 PCM) - 331,10 kW</t>
  </si>
  <si>
    <t>E9653</t>
  </si>
  <si>
    <t>Guindaste móvel sobre esteiras com trado para escavação em solos - 186 kW</t>
  </si>
  <si>
    <t>E9654</t>
  </si>
  <si>
    <t>Guindaste móvel sobre esteiras com trado com bits escavação em rocha - 186 kW</t>
  </si>
  <si>
    <t>E9656</t>
  </si>
  <si>
    <t>Guindaste móvel sobre esteiras com caçamba para escavação em solos - 186 kW</t>
  </si>
  <si>
    <t>E9657</t>
  </si>
  <si>
    <t>Guindaste móvel sobre esteiras com caçamba para escavação em rocha - 186 kW</t>
  </si>
  <si>
    <t>E9659</t>
  </si>
  <si>
    <t>Campânula de ar comprimido com capacidade de 3 m³</t>
  </si>
  <si>
    <t>E9660</t>
  </si>
  <si>
    <t>Guindaste móvel sobre esteiras com capacidade de 40 t - 186 kW</t>
  </si>
  <si>
    <t>E9661</t>
  </si>
  <si>
    <t>Compressor de ar portátil de 89,67 l/s (190 PCM) - 36 kW</t>
  </si>
  <si>
    <t>E9662</t>
  </si>
  <si>
    <t>Equipamento para solda e corte com oxiacetileno</t>
  </si>
  <si>
    <t>E9664</t>
  </si>
  <si>
    <t>Guindaste móvel sobre esteiras com capacidade de 80 t - 212 kW</t>
  </si>
  <si>
    <t>E9668</t>
  </si>
  <si>
    <t>Mesa vibratória - 2,20 kW</t>
  </si>
  <si>
    <t>E9671</t>
  </si>
  <si>
    <t>Compressor de ar portátil de 363,87 l/s (771 PCM) - 158,13 kW</t>
  </si>
  <si>
    <t>E9673</t>
  </si>
  <si>
    <t>Equipamento de batimetria multifeixe</t>
  </si>
  <si>
    <t>E9674</t>
  </si>
  <si>
    <t>Equipamento de medição de descarga líquida com ADCP</t>
  </si>
  <si>
    <t>E9675</t>
  </si>
  <si>
    <t>Martelete perfurador/rompedor elétrico - 1,50 kW</t>
  </si>
  <si>
    <t>E9676</t>
  </si>
  <si>
    <t>Embarcação de transporte de pessoal e apoio logístico - 90 kW</t>
  </si>
  <si>
    <t>E9677</t>
  </si>
  <si>
    <t>Martelete perfurador/rompedor a ar comprimido de 10 kg com capacidade de 1.800 gpm</t>
  </si>
  <si>
    <t>Fresadora a frio - 410 kW</t>
  </si>
  <si>
    <t>Rolo compactador liso tandem vibratório autopropelido de 10,4 t - 82 kW</t>
  </si>
  <si>
    <t>E9682</t>
  </si>
  <si>
    <t>Rolo compactador liso tandem vibratório autopropelido de 1,6 t - 18 kW</t>
  </si>
  <si>
    <t>E9683</t>
  </si>
  <si>
    <t>Martelete perfurador/rompedor elétrico - 0,90 kW</t>
  </si>
  <si>
    <t>E9684</t>
  </si>
  <si>
    <t>Veículo leve picape 4 x 4 com capacidade de 1,10 t - 147 kW</t>
  </si>
  <si>
    <t>E9685</t>
  </si>
  <si>
    <t>Rolo compactador pé de carneiro vibratório autopropelido por pneus de 11,6 t - 82 kW</t>
  </si>
  <si>
    <t>E9689</t>
  </si>
  <si>
    <t>Usina de asfalto a quente gravimétrica com capacidade de 100/140 t/h - 260 kW</t>
  </si>
  <si>
    <t>E9691</t>
  </si>
  <si>
    <t>Guincho tracionador de cordoalhas - 7,50 kW</t>
  </si>
  <si>
    <t>E9692</t>
  </si>
  <si>
    <t>Caldeira para aquecimento e injeção de cera - 1 kW</t>
  </si>
  <si>
    <t>E9694</t>
  </si>
  <si>
    <t>Misturador de argamassa de alta turbulência com capacidade de 220 l - 13 kW</t>
  </si>
  <si>
    <t>Minicarregadeira de pneus com vassoura de 1,8 m - 45,50 kW</t>
  </si>
  <si>
    <t>E9699</t>
  </si>
  <si>
    <t>Trituradora de galhos e troncos rebocável com capacidade de até 350 mm de diâmetro com guincho - 96,94 kW</t>
  </si>
  <si>
    <t>Fresadora a frio - 155 kW</t>
  </si>
  <si>
    <t>E9701</t>
  </si>
  <si>
    <t>Jateador pressurizado multiabrasivo com capacidade de 280 l</t>
  </si>
  <si>
    <t>E9703</t>
  </si>
  <si>
    <t>Fábrica de pré-moldado de concreto para mourão - 2,20 kW</t>
  </si>
  <si>
    <t>E9704</t>
  </si>
  <si>
    <t>Batelão sem propulsão montado na obra com capacidade de 66 m³</t>
  </si>
  <si>
    <t>E9705</t>
  </si>
  <si>
    <t>Misturador de lama bentonítica - 4 kW</t>
  </si>
  <si>
    <t>E9706</t>
  </si>
  <si>
    <t>Martelete perfurador/rompedor a ar comprimido de 28 kg para concreto com capacidade de 1.230 gpm</t>
  </si>
  <si>
    <t>E9707</t>
  </si>
  <si>
    <t>Desarenador - 15 kW</t>
  </si>
  <si>
    <t>E9708</t>
  </si>
  <si>
    <t>Microtrator com roçadeira - 10 kW</t>
  </si>
  <si>
    <t>E9710</t>
  </si>
  <si>
    <t>Socadora automática de linha - 253 kW</t>
  </si>
  <si>
    <t>E9712</t>
  </si>
  <si>
    <t>Reguladora e distribuidora de lastro - 300 kW</t>
  </si>
  <si>
    <t>E9714</t>
  </si>
  <si>
    <t>Bate-estaca com martelo hidráulico - 450 kW</t>
  </si>
  <si>
    <t>Conjunto bomba e macaco hidráulico para protensão com capacidade de 590 kN - 3,70 kW</t>
  </si>
  <si>
    <t>E9717</t>
  </si>
  <si>
    <t>Máquina policorte - 2,20 kW</t>
  </si>
  <si>
    <t>E9718</t>
  </si>
  <si>
    <t>Pórtico duplo de descarga e posicionamento de dormente - 89 kW</t>
  </si>
  <si>
    <t>E9719</t>
  </si>
  <si>
    <t>Talha manual com capacidade de 3 t</t>
  </si>
  <si>
    <t>E9720</t>
  </si>
  <si>
    <t>Conjunto bomba e macaco hidráulico para protensão com capacidade de 250 kN - 3,70 kW</t>
  </si>
  <si>
    <t>E9721</t>
  </si>
  <si>
    <t>Conjunto bomba e macaco hidráulico para protensão com capacidade de 1.150 kN - 5 kW</t>
  </si>
  <si>
    <t>E9722</t>
  </si>
  <si>
    <t>Conjunto bomba e macaco hidráulico para protensão com capacidade de 2.000 kN - 5 kW</t>
  </si>
  <si>
    <t>E9723</t>
  </si>
  <si>
    <t>Conjunto bomba e macaco hidráulico para protensão com capacidade de 2.500 kN - 7 kW</t>
  </si>
  <si>
    <t>E9724</t>
  </si>
  <si>
    <t>Conjunto bomba e macaco hidráulico para protensão com capacidade de 4.000 kN - 10 kW</t>
  </si>
  <si>
    <t>E9725</t>
  </si>
  <si>
    <t>Conjunto bomba e macaco hidráulico para protensão com capacidade de 5.400 kN - 10 kW</t>
  </si>
  <si>
    <t>E9726</t>
  </si>
  <si>
    <t>Bate-estaca Strauss - 15 kW</t>
  </si>
  <si>
    <t>E9727</t>
  </si>
  <si>
    <t>Posicionadora de trilhos - 7,40 kW</t>
  </si>
  <si>
    <t>E9728</t>
  </si>
  <si>
    <t>Tirefonadora/parafusadora portátil - 3,10 kW</t>
  </si>
  <si>
    <t>E9729</t>
  </si>
  <si>
    <t>Equipamento para pintura eletrostática com cabine simples de 5,50 kW e estufa de 2x120.000 kCal</t>
  </si>
  <si>
    <t>E9730</t>
  </si>
  <si>
    <t>Grupo vibrador com gerador - 2,80 kW</t>
  </si>
  <si>
    <t>E9731</t>
  </si>
  <si>
    <t>Máquina de furar dormente portátil - 1,50 kW</t>
  </si>
  <si>
    <t>E9732</t>
  </si>
  <si>
    <t>Máquina para furar dormente - 6,70 kW</t>
  </si>
  <si>
    <t>E9733</t>
  </si>
  <si>
    <t>Máquina tirefonadora e parafusadora - 6,70 kW</t>
  </si>
  <si>
    <t>E9734</t>
  </si>
  <si>
    <t>Bomba projetora de argamassa com capacidade de 2 m³/h - 5,50 kW</t>
  </si>
  <si>
    <t>E9735</t>
  </si>
  <si>
    <t>Máquina para serrar trilho - 5,00 kW</t>
  </si>
  <si>
    <t>E9736</t>
  </si>
  <si>
    <t>Máquina para furar trilho - 1,20 kW</t>
  </si>
  <si>
    <t>E9737</t>
  </si>
  <si>
    <t>Conjunto para pré-aquecimento de trilho em solda aluminotérmica</t>
  </si>
  <si>
    <t>E9738</t>
  </si>
  <si>
    <t>Máquina de esmerilhar topo e lateral de boleto - 5,20 kW</t>
  </si>
  <si>
    <t>E9740</t>
  </si>
  <si>
    <t>Quadro tubular contraventado para andaime de 1 x 1 x 1 m com capacidade de 2 t</t>
  </si>
  <si>
    <t>E9745</t>
  </si>
  <si>
    <t>Trator agrícola sobre pneus com roçadeira - 77 kW</t>
  </si>
  <si>
    <t>E9746</t>
  </si>
  <si>
    <t>Conjunto bomba e prensa para luva de emenda de 25 mm</t>
  </si>
  <si>
    <t>E9747</t>
  </si>
  <si>
    <t>Conjunto bomba e prensa para luva de emenda de 32 mm</t>
  </si>
  <si>
    <t>E9748</t>
  </si>
  <si>
    <t>Rosqueadeira para rosca cônica - 0,75 kW</t>
  </si>
  <si>
    <t>E9749</t>
  </si>
  <si>
    <t>Jateador portátil multiabrasivo com capacidade de 300 kg</t>
  </si>
  <si>
    <t>E9750</t>
  </si>
  <si>
    <t>Bomba de injeção de argamassa com capacidade de 50 l/min</t>
  </si>
  <si>
    <t>E9755</t>
  </si>
  <si>
    <t>Bomba de alta pressão para jet grouting de até 45 MPa - 150 kW</t>
  </si>
  <si>
    <t>E9756</t>
  </si>
  <si>
    <t>Calandra para chapas de aço até 25 mm - 22 kW</t>
  </si>
  <si>
    <t>E9758</t>
  </si>
  <si>
    <t>Vibroacabadora de asfalto sobre pneus - 82 kW</t>
  </si>
  <si>
    <t>E9760</t>
  </si>
  <si>
    <t>Perfuratriz manual para coroa diamantada - 1,60 kW</t>
  </si>
  <si>
    <t>E9761</t>
  </si>
  <si>
    <t>Guincho de coluna com capacidade de 200 kg - 0,92 kW</t>
  </si>
  <si>
    <t>Rolo compactador de pneus autopropelido de 27 t - 85 kW</t>
  </si>
  <si>
    <t>E9763</t>
  </si>
  <si>
    <t>Grupo gerador - 36/40 kVA</t>
  </si>
  <si>
    <t>E9766</t>
  </si>
  <si>
    <t>Prensa hidráulica para fabricação de blocos pré-moldados - 20 kW</t>
  </si>
  <si>
    <t>E9767</t>
  </si>
  <si>
    <t>Compressor de ar portátil de 9,44 l/s (20 PCM) a gasolina - 5,22 kW</t>
  </si>
  <si>
    <t>E9768</t>
  </si>
  <si>
    <t>Compressor de ar portátil de 373,78 l/s (792 PCM) - 213,30 kW</t>
  </si>
  <si>
    <t>E9769</t>
  </si>
  <si>
    <t>Cunha hidráulica com três cilindros e acessórios com capacidade de 3.000 kN - 5,60 kW</t>
  </si>
  <si>
    <t>E9770</t>
  </si>
  <si>
    <t>Retroescavadeira de pneus com caçamba de escavação trapezoidal ou triangular com seção de corte inferior a 0,10 m² - 58 kW</t>
  </si>
  <si>
    <t>E9771</t>
  </si>
  <si>
    <t>Retroescavadeira de pneus com caçamba de escavação trapezoidal ou triangular com seção de corte de 0,10 a 0,15 m² - 58 kW</t>
  </si>
  <si>
    <t>E9772</t>
  </si>
  <si>
    <t>Retroescavadeira de pneus com caçamba de escavação trapezoidal ou triangular com seção de corte de 0,15 a 0,20 m² - 58 kW</t>
  </si>
  <si>
    <t>E9773</t>
  </si>
  <si>
    <t>Retroescavadeira de pneus com caçamba de escavação trapezoidal ou triangular com seção de corte de 0,20 a 0,30 m² - 58 kW</t>
  </si>
  <si>
    <t>E9774</t>
  </si>
  <si>
    <t>Retroescavadeira de pneus com caçamba de escavação trapezoidal ou triangular com seção de corte de 0,30 a 0,50 m² - 58 kW</t>
  </si>
  <si>
    <t>E9775</t>
  </si>
  <si>
    <t>Escavadeira hidráulica com martelo hidráulico de 1.700 kg - 103 kW</t>
  </si>
  <si>
    <t>E9776</t>
  </si>
  <si>
    <t>Grupo gerador - 145/160 kVA</t>
  </si>
  <si>
    <t>E9777</t>
  </si>
  <si>
    <t>Extrusora de barreira de concreto - 74 kW</t>
  </si>
  <si>
    <t>E9778</t>
  </si>
  <si>
    <t>Grupo gerador - 310/340 kVA</t>
  </si>
  <si>
    <t>Grupo gerador - 100/110 kVA</t>
  </si>
  <si>
    <t>E9780</t>
  </si>
  <si>
    <t>Misturador automático para grauteamento com capacidade de 20 m³/h - 7 kW</t>
  </si>
  <si>
    <t>E9781</t>
  </si>
  <si>
    <t>Misturador com bomba para grauteamento tipo Flex E ou similar - 25 kW</t>
  </si>
  <si>
    <t>E9782</t>
  </si>
  <si>
    <t>Perfuratriz pneumática com avanço de coluna de 33,5 kg com capacidade de 2.280 gpm</t>
  </si>
  <si>
    <t>E9784</t>
  </si>
  <si>
    <t>Plataforma autopropelida com alcance de 12 m com capacidade de 700 kg - 24 kW</t>
  </si>
  <si>
    <t>E9785</t>
  </si>
  <si>
    <t>Guindaste móvel sobre pneus com 2 eixos com capacidade máxima de 55 t - 186 kW</t>
  </si>
  <si>
    <t>E9788</t>
  </si>
  <si>
    <t>Misturador de argamassa com capacidade de 0,250 m³ - 3,70 kW</t>
  </si>
  <si>
    <t>E9789</t>
  </si>
  <si>
    <t>Carro manual modelo plataforma de 150 x 80 cm com capacidade de 800 kg</t>
  </si>
  <si>
    <t>E9790</t>
  </si>
  <si>
    <t>Bomba para concreto projetado via úmida com capacidade de 10 m³/h - 14,70 kW</t>
  </si>
  <si>
    <t>E9791</t>
  </si>
  <si>
    <t>Bomba pneumática para injeção de resina com capacidade de 0,18 m³/h</t>
  </si>
  <si>
    <t>E9793</t>
  </si>
  <si>
    <t>Robot para concreto projetado com capacidade de 30 m³/h - 70 kW - com compressor diesel</t>
  </si>
  <si>
    <t>E9795</t>
  </si>
  <si>
    <t>Perfuratriz de superfície sobre pneus com martelo de topo e controle remoto via rádio - 60 kW</t>
  </si>
  <si>
    <t>E9797</t>
  </si>
  <si>
    <t>Jumbo eletro-hidráulico com 3 braços - 155 kW/237 kW</t>
  </si>
  <si>
    <t>Perfuratriz hidráulica rotopercussiva - 123 kW</t>
  </si>
  <si>
    <t>E9013</t>
  </si>
  <si>
    <t>Caminhão tanque de asfalto com capacidade de 31.000 l - 265 kW</t>
  </si>
  <si>
    <t>A9335</t>
  </si>
  <si>
    <t>Cavalo mecânico estradeiro 6 x 2, PBT 23.000 kg - 265 kW - condição de trabalho severa - motorista de caminhão</t>
  </si>
  <si>
    <t>A9364</t>
  </si>
  <si>
    <t>Tanque isotérmico de asfalto com capacidade de 31.000 l</t>
  </si>
  <si>
    <t>E9018</t>
  </si>
  <si>
    <t>Cavalo mecânico com dolly intermediário e semirreboque de 4 eixos com capacidade de 53 t - 323 kW</t>
  </si>
  <si>
    <t>A9324</t>
  </si>
  <si>
    <t>Cavalo mecânico estradeiro 6 x 4, PBT 23.000 kg - 323 kW - motorista de veículo especial</t>
  </si>
  <si>
    <t>A9355</t>
  </si>
  <si>
    <t>Semirreboque com 4 eixos</t>
  </si>
  <si>
    <t>A9382</t>
  </si>
  <si>
    <t>Dolly intermediário com 2 eixos para semirreboque</t>
  </si>
  <si>
    <t>E9027</t>
  </si>
  <si>
    <t>Caminhão distribuidor de cimento e cal com capacidade de 17 m³ - 210 kW</t>
  </si>
  <si>
    <t>A9333</t>
  </si>
  <si>
    <t>Caminhão plataforma 8 x 2, PBTC 36.000 kg e distância entre eixos 4,8 m - 210 kW - motorista de caminhão</t>
  </si>
  <si>
    <t>A9365</t>
  </si>
  <si>
    <t>Distribuidor de cimento montado sobre chassi com capacidade de 17 m³</t>
  </si>
  <si>
    <t>E9037</t>
  </si>
  <si>
    <t>Plataforma de inspeção sob pontes montada em caminhão com capacidade de 500 kg e alcance de 15 m - 188 kW</t>
  </si>
  <si>
    <t>A9334</t>
  </si>
  <si>
    <t>Caminhão plataforma 8 x 2, PBT 29.000 kg e distância entre eixos 4,8 m - 188 kW - condição de trabalho severa - motorista de veículo especial</t>
  </si>
  <si>
    <t>A9378</t>
  </si>
  <si>
    <t>Plataforma telescópica para inspeção de pontes montada sobre chassi com capacidade de 500 kg</t>
  </si>
  <si>
    <t>E9041</t>
  </si>
  <si>
    <t>Caminhão carroceria com guindauto com capacidade de 45 t.m - 188 kW</t>
  </si>
  <si>
    <t>A9313</t>
  </si>
  <si>
    <t>Caminhão plataforma 6 x 2, PBT 23.000 kg e distância entre eixos 5,4 m - 188 kW - motorista de veículo especial</t>
  </si>
  <si>
    <t>A9351</t>
  </si>
  <si>
    <t>Carroceria de madeira com capacidade de 11 t</t>
  </si>
  <si>
    <t>A9373</t>
  </si>
  <si>
    <t>Guindaste articulado montado sobre chassi com capacidade de 45 t.m</t>
  </si>
  <si>
    <t>E9082</t>
  </si>
  <si>
    <t>Bate-estaca hidráulico para defensas montado em caminhão guindauto com capacidade de 20 t.m e carroceria de 4 t - 136 kW</t>
  </si>
  <si>
    <t>A9323</t>
  </si>
  <si>
    <t>Caminhão plataforma 4 x 2, PBT 14.300 kg e distância entre eixos 4,8 m - 136 kW - condição de trabalho severa - motorista de caminhão</t>
  </si>
  <si>
    <t>A9347</t>
  </si>
  <si>
    <t>Carroceria de madeira com capacidade de 4 t</t>
  </si>
  <si>
    <t>A9372</t>
  </si>
  <si>
    <t>Guindaste articulado montado sobre chassi com capacidade de 20 t.m</t>
  </si>
  <si>
    <t>A9379</t>
  </si>
  <si>
    <t>Bate-estaca hidráulico para defensas metálicas montada sobre chassi</t>
  </si>
  <si>
    <t>E9097</t>
  </si>
  <si>
    <t>Caminhão de resgate de veículos leves com plataforma com capacidade de 4 t - 115 kW</t>
  </si>
  <si>
    <t>A9326</t>
  </si>
  <si>
    <t>Caminhão plataforma 4 x 2 PBT 9.600 kg e distância entre eixos 3,7 m - 115 kW - motorista de veículo especial</t>
  </si>
  <si>
    <t>A9374</t>
  </si>
  <si>
    <t>Plataforma hidráulica para resgate de veículos montada sobre chassi com capacidade de 4 t</t>
  </si>
  <si>
    <t>E9098</t>
  </si>
  <si>
    <t>Caminhão de resgate de veículos de porte médio com capacidade do guincho de 20 t - 136 kW</t>
  </si>
  <si>
    <t>A9306</t>
  </si>
  <si>
    <t>Caminhão plataforma 4 x 2, PBT 16.000 kg e distância entre eixos 3,6 m - 136 kW - motorista de veículo especial</t>
  </si>
  <si>
    <t>A9375</t>
  </si>
  <si>
    <t>Guincho rebocador para resgate de veículos montada sobre chassi com capacidade de 20 t</t>
  </si>
  <si>
    <t>E9099</t>
  </si>
  <si>
    <t>Caminhão de resgate de veículos pesados com dois guinchos com capacidade de 35 t - 240 kW</t>
  </si>
  <si>
    <t>A9320</t>
  </si>
  <si>
    <t>Caminhão plataforma 6 x 2, PBT 23.000 kg e distância entre eixos 4,8 m - 240 kW - motorista de veículo especial</t>
  </si>
  <si>
    <t>A9376</t>
  </si>
  <si>
    <t>Guincho rebocador para resgate de veículos montada sobre chassi com capacidade de 35 t</t>
  </si>
  <si>
    <t>E9100</t>
  </si>
  <si>
    <t>Cavalo mecânico sem reboque - 210 kW</t>
  </si>
  <si>
    <t>A9310</t>
  </si>
  <si>
    <t>Cavalo mecânico 4 x 2, PBT 16.000 kg - 210 kW - motorista de caminhão</t>
  </si>
  <si>
    <t>E9114</t>
  </si>
  <si>
    <t>Painel com seta luminosa para montagem em caminhão</t>
  </si>
  <si>
    <t>A9380</t>
  </si>
  <si>
    <t>Painel com seta luminosa montado sobre chassi</t>
  </si>
  <si>
    <t>E9115</t>
  </si>
  <si>
    <t>Amortecedor retrátil (AMC) para montagem em caminhão</t>
  </si>
  <si>
    <t>A9381</t>
  </si>
  <si>
    <t>Amortecedor retrátil montado em caminhão</t>
  </si>
  <si>
    <t>E9145</t>
  </si>
  <si>
    <t>Caminhão basculante para concreto com capacidade de 7 m³ - 188 kW</t>
  </si>
  <si>
    <t>A9316</t>
  </si>
  <si>
    <t>Caminhão plataforma 8 x 2, PBT 29.000 kg e distância entre eixos 4,8 m - 188 kW - motorista de caminhão</t>
  </si>
  <si>
    <t>A9340</t>
  </si>
  <si>
    <t>Caçamba basculante para concreto com capacidade de 7 m³</t>
  </si>
  <si>
    <t>E9146</t>
  </si>
  <si>
    <t>Caminhão silo com capacidade de 30 m³ - 265 kW</t>
  </si>
  <si>
    <t>A9357</t>
  </si>
  <si>
    <t>Semirreboque silo para cimento com capacidade de 30 m³</t>
  </si>
  <si>
    <t>E9169</t>
  </si>
  <si>
    <t>Cavalo mecânico com dolly pneumático de 4 eixos e mesas de giro com capacidade de 57 t - 323 kW</t>
  </si>
  <si>
    <t>A9385</t>
  </si>
  <si>
    <t>Conjunto de duas mesas de giro para quinta roda ou reboque com capacidade de 100 t cada</t>
  </si>
  <si>
    <t>A9389</t>
  </si>
  <si>
    <t>Dolly pneumático com capacidade de 48 t e 4 eixos</t>
  </si>
  <si>
    <t>E9170</t>
  </si>
  <si>
    <t>Cavalo mecânico com dois dollys pneumáticos de 3 e 4 eixos e mesas de giro com capacidade de 77 t - 323 kW</t>
  </si>
  <si>
    <t>A9386</t>
  </si>
  <si>
    <t>Cavalo mecânico estradeiro 6 x 4, CMT 123.000 kg - 323 kW - motorista de veículo especial</t>
  </si>
  <si>
    <t>A9387</t>
  </si>
  <si>
    <t>Dolly pneumático com capacidade de 28,5 t e 3 eixos</t>
  </si>
  <si>
    <t>E9171</t>
  </si>
  <si>
    <t>Cavalo mecânico com dois dollys pneumáticos de 4 e 5 eixos e mesas de giro com capacidade de 111 t - 440 kW</t>
  </si>
  <si>
    <t>A9325</t>
  </si>
  <si>
    <t>Cavalo mecânico 8 x 8, PBT 26.000 kg - 440 kW -  motorista de veículo especial</t>
  </si>
  <si>
    <t>A9388</t>
  </si>
  <si>
    <t>Dolly pneumático com capacidade de 60 t e 5 eixos</t>
  </si>
  <si>
    <t>E9199</t>
  </si>
  <si>
    <t>Caminhão com sistema de hidrojateamento de alta pressão e vácuo para limpeza e desobstrução de bueiros com capacidade total de 15.600 l - 188 kW</t>
  </si>
  <si>
    <t>A9299</t>
  </si>
  <si>
    <t>Equipamento com sistema de hidrojateamento de alta pressão e vácuo para limpeza e desobstrução de bueiros com diâmetro de até 1.500 mm com capacidade total de 15.600 l</t>
  </si>
  <si>
    <t>E9201</t>
  </si>
  <si>
    <t>Caminhão basculante para rocha com capacidade de 12 m³ - 188 kW com periculosidade</t>
  </si>
  <si>
    <t>A9327</t>
  </si>
  <si>
    <t>Caminhão plataforma 8 x 2 PBT 29.000 kg e distância entre eixos 4,8 m - 188 kW - motorista de veículo especial com periculosidade</t>
  </si>
  <si>
    <t>A9343</t>
  </si>
  <si>
    <t>Caçamba basculante para rocha com capacidade de 12 m³</t>
  </si>
  <si>
    <t>E9202</t>
  </si>
  <si>
    <t>Plataforma pantográfica montada em caminhão - 115 kW com periculosidade</t>
  </si>
  <si>
    <t>A9300</t>
  </si>
  <si>
    <t>Caminhão plataforma 4 x 2, PBT 8.300 kg e distância entre eixos 3,7 m - 115 kW - motorista de veículo especial com periculosidade</t>
  </si>
  <si>
    <t>A9383</t>
  </si>
  <si>
    <t>Plataforma pantográfica hidráulica montada sobre chassi com capacidade de 600 kg - com periculosidade</t>
  </si>
  <si>
    <t>E9506</t>
  </si>
  <si>
    <t>Caminhão basculante com capacidade de 6 m³ - 136 kW</t>
  </si>
  <si>
    <t>A9307</t>
  </si>
  <si>
    <t>Caminhão plataforma 4 x 2, PBT 16.000 kg e distância entre eixos 3,6 m - 136 kW - motorista de caminhão</t>
  </si>
  <si>
    <t>A9338</t>
  </si>
  <si>
    <t>Caçamba basculante com capacidade de 6 m³</t>
  </si>
  <si>
    <t>E9508</t>
  </si>
  <si>
    <t>Caminhão carroceria com capacidade de 9 t - 136 kW</t>
  </si>
  <si>
    <t>A9309</t>
  </si>
  <si>
    <t>Caminhão plataforma 4 x 2, PBT 16.000 kg e distância entre eixos 4,8 m - 136 kW - motorista de caminhão</t>
  </si>
  <si>
    <t>A9350</t>
  </si>
  <si>
    <t>Carroceria de madeira com capacidade de 9 t</t>
  </si>
  <si>
    <t>Caminhão tanque distribuidor de asfalto com capacidade de 6.000 l - 7 kW/136 kW</t>
  </si>
  <si>
    <t>A9363</t>
  </si>
  <si>
    <t>Tanque espargidor de asfalto com capacidade de 6.000 l - 7 kW</t>
  </si>
  <si>
    <t>E9520</t>
  </si>
  <si>
    <t>Caminhão com caçamba térmica com capacidade de 6 m³ - 188 kW</t>
  </si>
  <si>
    <t>A9311</t>
  </si>
  <si>
    <t>Caminhão plataforma 6 x 2, PBT 23.000 kg e distância entre eixos 4,8 m - 188 kW - motorista de caminhão</t>
  </si>
  <si>
    <t>A9339</t>
  </si>
  <si>
    <t>Caçamba térmica com capacidade de 6 m³</t>
  </si>
  <si>
    <t>Caminhão tanque com capacidade de 10.000 l - 188 kW</t>
  </si>
  <si>
    <t>A9332</t>
  </si>
  <si>
    <t>Caminhão plataforma 6 x 2, PBT 23.000 kg e distância entre eixos 4,8 m - 188 kW - condição de trabalho severa - motorista de caminhão</t>
  </si>
  <si>
    <t>A9360</t>
  </si>
  <si>
    <t>Tanque para transporte de água com capacidade de 10.000 l</t>
  </si>
  <si>
    <t>E9575</t>
  </si>
  <si>
    <t>Caminhão basculante com caçamba estanque com capacidade de 14 m³ - 188 kW</t>
  </si>
  <si>
    <t>A9317</t>
  </si>
  <si>
    <t>Caminhão plataforma 8 x 2, PBT 29.000 kg e distância entre eixos 4,8 m - 188 kW - motorista de veículo especial</t>
  </si>
  <si>
    <t>A9345</t>
  </si>
  <si>
    <t>Caçamba basculante estanque com capacidade de 14 m³</t>
  </si>
  <si>
    <t>Caminhão basculante com capacidade de 10 m³ - 188 kW</t>
  </si>
  <si>
    <t>A9342</t>
  </si>
  <si>
    <t>Caçamba basculante com capacidade de 10 m³</t>
  </si>
  <si>
    <t>Caminhão carroceria com capacidade de 15 t - 188 kW</t>
  </si>
  <si>
    <t>A9314</t>
  </si>
  <si>
    <t>Caminhão plataforma 6 x 2, PBT 23.000 kg e distância entre eixos 5,4 m - 188 kW - motorista de caminhão</t>
  </si>
  <si>
    <t>A9352</t>
  </si>
  <si>
    <t>Carroceria de madeira com capacidade de 15 t</t>
  </si>
  <si>
    <t>E9600</t>
  </si>
  <si>
    <t>Caminhão betoneira com capacidade de 8 m³ - 188 kW</t>
  </si>
  <si>
    <t>A9346</t>
  </si>
  <si>
    <t>Misturador de concreto para montagem em chassi de caminhão com capacidade de 8 m³</t>
  </si>
  <si>
    <t>E9604</t>
  </si>
  <si>
    <t>Caminhão basculante para rocha com capacidade de 8 m³ - 210 kW</t>
  </si>
  <si>
    <t>A9315</t>
  </si>
  <si>
    <t>Caminhão basculante 6 x 4, PBT 23.000 kg e distância entre eixos 3,6 m - 210 kW -  motorista de caminhão</t>
  </si>
  <si>
    <t>A9341</t>
  </si>
  <si>
    <t>Caçamba basculante para rocha com capacidade de 8 m³</t>
  </si>
  <si>
    <t>Caminhão tanque com capacidade de 6.000 l - 136 kW</t>
  </si>
  <si>
    <t>A9358</t>
  </si>
  <si>
    <t>Tanque para transporte de água com capacidade de 6.000 l</t>
  </si>
  <si>
    <t>E9644</t>
  </si>
  <si>
    <t>Caminhão demarcador de faixas com sistema de pintura a frio - 28 kW/115 kW</t>
  </si>
  <si>
    <t>A9302</t>
  </si>
  <si>
    <t>Caminhão plataforma 4 x 2, PBT 8.300 kg e distância entre eixos 4,4 m - 115 kW - motorista de veículo especial</t>
  </si>
  <si>
    <t>A9368</t>
  </si>
  <si>
    <t>Equipamento demarcador de faixas a frio montado sobre chassi com capacidade de 800 l - 28 kW</t>
  </si>
  <si>
    <t>E9645</t>
  </si>
  <si>
    <t>Caminhão demarcador de faixas com sistema de pintura a quente - 5 kW/30,10 kW/136 kW</t>
  </si>
  <si>
    <t>A9305</t>
  </si>
  <si>
    <t>Caminhão plataforma 4 x 2, PBT 14.300 kg e distância entre eixos 4,8 m - 136 kW - motorista de veículo especial</t>
  </si>
  <si>
    <t>A9328</t>
  </si>
  <si>
    <t>Compressor de ar portátil de 70,79 l/s (150 PCM) sem reboque - 30,10 kW</t>
  </si>
  <si>
    <t>A9369</t>
  </si>
  <si>
    <t>Equipamento demarcador de faixas a quente montado sobre chassi com capacidade de 500 l - 5,0 kW</t>
  </si>
  <si>
    <t>E9663</t>
  </si>
  <si>
    <t>Caminhão basculante com capacidade de 4 m³ - 136 kW</t>
  </si>
  <si>
    <t>A9304</t>
  </si>
  <si>
    <t>Caminhão plataforma 4 x 2, PBT 14.300 kg e distância entre eixos 4,8 m - 136 kW - motorista de caminhão</t>
  </si>
  <si>
    <t>A9336</t>
  </si>
  <si>
    <t>Caçamba basculante com capacidade de 4 m³</t>
  </si>
  <si>
    <t>E9665</t>
  </si>
  <si>
    <t>Cavalo mecânico com semirreboque com capacidade de 22 t - 240 kW</t>
  </si>
  <si>
    <t>A9318</t>
  </si>
  <si>
    <t>Cavalo mecânico 4 x 2, PBT 16.000 kg - 240 kW - motorista de veículo especial</t>
  </si>
  <si>
    <t>A9353</t>
  </si>
  <si>
    <t>Semirreboque com 2 eixos</t>
  </si>
  <si>
    <t>Cavalo mecânico com semirreboque com capacidade de 30 t - 265 kW</t>
  </si>
  <si>
    <t>A9321</t>
  </si>
  <si>
    <t>Cavalo mecânico estradeiro 6 x 2, PBT 23.000 kg - 265 kW - motorista de caminhão</t>
  </si>
  <si>
    <t>A9354</t>
  </si>
  <si>
    <t>Semirreboque com 3 eixos</t>
  </si>
  <si>
    <t>E9667</t>
  </si>
  <si>
    <t>Caminhão basculante com capacidade de 14 m³ - 188 kW</t>
  </si>
  <si>
    <t>A9344</t>
  </si>
  <si>
    <t>Caçamba basculante com capacidade de 14 m³</t>
  </si>
  <si>
    <t>E9669</t>
  </si>
  <si>
    <t>Caminhão tanque com capacidade de 8.000 l - 136 kW</t>
  </si>
  <si>
    <t>A9331</t>
  </si>
  <si>
    <t>Caminhão plataforma 4 x 2, PBT 16.000 kg e distância entre eixos 4,8 m - 136 kW - condição de trabalho severa - motorista de caminhão</t>
  </si>
  <si>
    <t>A9359</t>
  </si>
  <si>
    <t>Tanque para transporte de água com capacidade de 8.000 l</t>
  </si>
  <si>
    <t>Usina móvel de lama asfáltica ou microrrevestimento com cavalo mecânico com capacidade de 12 m³ - 95,6 kW/240 kW</t>
  </si>
  <si>
    <t>A9319</t>
  </si>
  <si>
    <t>Cavalo mecânico 4 x 2, PBT 16.000 kg - 240 kW - condição de trabalho severa - motorista de veículo especial</t>
  </si>
  <si>
    <t>A9367</t>
  </si>
  <si>
    <t>Usina de lama asfáltica ou microrrevestimento asfáltico rebocável com capacidade de 12 m³ - 95,6 kW</t>
  </si>
  <si>
    <t>Caminhão basculante para rocha com capacidade de 12 m³ - 188 kW</t>
  </si>
  <si>
    <t>E9679</t>
  </si>
  <si>
    <t>Cavalo mecânico com dois reboques hidropneumáticos de 5 e 4 eixos e mesas de giro com capacidade de 130 t - 440 kW</t>
  </si>
  <si>
    <t>A9384</t>
  </si>
  <si>
    <t>Reboque hidropneumático com capacidade de 166 t e 4 eixos</t>
  </si>
  <si>
    <t>A9390</t>
  </si>
  <si>
    <t>Reboque hidropneumático com capacidade de 117 t e 5 eixos</t>
  </si>
  <si>
    <t>E9680</t>
  </si>
  <si>
    <t>Caminhão tanque com capacidade de 13.000 l - 188 kW</t>
  </si>
  <si>
    <t>A9361</t>
  </si>
  <si>
    <t>Tanque para transporte de água com capacidade de 13.000 l</t>
  </si>
  <si>
    <t>Caminhão carroceria com guindauto com capacidade de 20 t.m - 136 kW</t>
  </si>
  <si>
    <t>A9308</t>
  </si>
  <si>
    <t>Caminhão plataforma 4 x 2, PBT 16.000 kg e distância entre eixos 4,8 m - 136 kW - motorista de veículo especial</t>
  </si>
  <si>
    <t>A9349</t>
  </si>
  <si>
    <t>Carroceria de madeira com capacidade de 7 t</t>
  </si>
  <si>
    <t>E9687</t>
  </si>
  <si>
    <t>Caminhão carroceria com capacidade de 5 t - 115 kW</t>
  </si>
  <si>
    <t>A9303</t>
  </si>
  <si>
    <t>Caminhão plataforma 4 x 2, PBT 9.600 kg e distância entre eixos 3,7 m - 115 kW - motorista de caminhão</t>
  </si>
  <si>
    <t>A9348</t>
  </si>
  <si>
    <t>Carroceria de madeira com capacidade de 5 t</t>
  </si>
  <si>
    <t>E9690</t>
  </si>
  <si>
    <t>Caminhão carroceria com guindauto e cesto aéreo com capacidade de 10 t.m - 136 kW</t>
  </si>
  <si>
    <t>A9329</t>
  </si>
  <si>
    <t>Cesto aéreo simples isolado com capacidade para 135 kg</t>
  </si>
  <si>
    <t>A9330</t>
  </si>
  <si>
    <t>Guindaste articulado montado sobre chassi com capacidade de 10 t.m</t>
  </si>
  <si>
    <t>E9693</t>
  </si>
  <si>
    <t>Caminhão demarcador de faixas com sistema de pintura Spray - 115 kW</t>
  </si>
  <si>
    <t>A9322</t>
  </si>
  <si>
    <t>Caminhão plataforma 4 x 2, PBT 9.600 kg e distância entre eixos 3,7 m - 115 kW - condição de trabalho severa - motorista de caminhão</t>
  </si>
  <si>
    <t>A9370</t>
  </si>
  <si>
    <t>Equipamento demarcador de faixas sistema spray montado sobre chassi com capacidade 1.080 l</t>
  </si>
  <si>
    <t>E9783</t>
  </si>
  <si>
    <t>Plataforma pantográfica montada em caminhão - 115 kW</t>
  </si>
  <si>
    <t>A9301</t>
  </si>
  <si>
    <t>Caminhão plataforma 4 x 2, PBT 8.300 kg e distância entre eixos 3,7 m - 115 kW - motorista de veículo especial</t>
  </si>
  <si>
    <t>A9377</t>
  </si>
  <si>
    <t>Plataforma pantográfica hidráulica montada sobre chassi com capacidade de 600 kg</t>
  </si>
  <si>
    <t>E9787</t>
  </si>
  <si>
    <t>Bomba para concreto com lança montada sobre chassi com capacidade de 50 m³/h - 136 kW</t>
  </si>
  <si>
    <t>A9371</t>
  </si>
  <si>
    <t>Bomba para concreto com lança montada sobre chassi com capacidade de 50 m³/h</t>
  </si>
  <si>
    <t>E9792</t>
  </si>
  <si>
    <t>Caminhão para hidrossemeadura com capacidade de 7.500 l - 136 kW</t>
  </si>
  <si>
    <t>A9362</t>
  </si>
  <si>
    <t>Tanque para hidrossemeadura com capacidade de 7.500 l</t>
  </si>
  <si>
    <t>Sem desoneração</t>
  </si>
  <si>
    <t>Salário (R$)</t>
  </si>
  <si>
    <t>Encargos Totais</t>
  </si>
  <si>
    <t>Custo (R$)</t>
  </si>
  <si>
    <t>Periculosidade/
Insalubridade</t>
  </si>
  <si>
    <t>P9801</t>
  </si>
  <si>
    <t>Ajudante</t>
  </si>
  <si>
    <t>h</t>
  </si>
  <si>
    <t>P9802</t>
  </si>
  <si>
    <t>Ajudante especializado</t>
  </si>
  <si>
    <t>P9803</t>
  </si>
  <si>
    <t>Almoxarife</t>
  </si>
  <si>
    <t>P9804</t>
  </si>
  <si>
    <t>P9805</t>
  </si>
  <si>
    <t>Armador</t>
  </si>
  <si>
    <t>P9807</t>
  </si>
  <si>
    <t>Bombeiro hidráulico</t>
  </si>
  <si>
    <t>P9808</t>
  </si>
  <si>
    <t>Carpinteiro</t>
  </si>
  <si>
    <t>P9809</t>
  </si>
  <si>
    <t>Encarregado administrativo</t>
  </si>
  <si>
    <t>P9810</t>
  </si>
  <si>
    <t>Eletricista</t>
  </si>
  <si>
    <t>P9811</t>
  </si>
  <si>
    <t>Encarregado especializado</t>
  </si>
  <si>
    <t>P9812</t>
  </si>
  <si>
    <t>Engenheiro</t>
  </si>
  <si>
    <t>P9814</t>
  </si>
  <si>
    <t>Operacional</t>
  </si>
  <si>
    <t>P9815</t>
  </si>
  <si>
    <t>Jardineiro</t>
  </si>
  <si>
    <t>P9816</t>
  </si>
  <si>
    <t>Encarregado de mergulho</t>
  </si>
  <si>
    <t>Engenheiro supervisor</t>
  </si>
  <si>
    <t>P9821</t>
  </si>
  <si>
    <t>Pedreiro</t>
  </si>
  <si>
    <t>P9822</t>
  </si>
  <si>
    <t>Pintor</t>
  </si>
  <si>
    <t>P9823</t>
  </si>
  <si>
    <t>Serralheiro</t>
  </si>
  <si>
    <t>P9824</t>
  </si>
  <si>
    <t>Servente</t>
  </si>
  <si>
    <t>P9825</t>
  </si>
  <si>
    <t>Soldador</t>
  </si>
  <si>
    <t>P9826</t>
  </si>
  <si>
    <t>Chefe setor de finanças</t>
  </si>
  <si>
    <t>P9830</t>
  </si>
  <si>
    <t>Montador</t>
  </si>
  <si>
    <t>P9833</t>
  </si>
  <si>
    <t>Auxiliar de laboratório</t>
  </si>
  <si>
    <t>P9835</t>
  </si>
  <si>
    <t>Perfurador de tubulão a ar comprimido com insalubridade</t>
  </si>
  <si>
    <t>P9836</t>
  </si>
  <si>
    <t>Geólogo</t>
  </si>
  <si>
    <t>P9837</t>
  </si>
  <si>
    <t>Oceanógrafo</t>
  </si>
  <si>
    <t>P9840</t>
  </si>
  <si>
    <t>Encarregado geral</t>
  </si>
  <si>
    <t>P9842</t>
  </si>
  <si>
    <t>Faxineiro</t>
  </si>
  <si>
    <t>P9843</t>
  </si>
  <si>
    <t>Operador de equipamento leve</t>
  </si>
  <si>
    <t>P9844</t>
  </si>
  <si>
    <t>Capitão fluvial</t>
  </si>
  <si>
    <t>P9845</t>
  </si>
  <si>
    <t>Operador de equipamento pesado</t>
  </si>
  <si>
    <t>P9846</t>
  </si>
  <si>
    <t>Operador de equipamento especial</t>
  </si>
  <si>
    <t>P9847</t>
  </si>
  <si>
    <t>Perfurador de tubulão</t>
  </si>
  <si>
    <t>P9848</t>
  </si>
  <si>
    <t>Desenhista</t>
  </si>
  <si>
    <t>P9849</t>
  </si>
  <si>
    <t>Condutor maquinista fluvial</t>
  </si>
  <si>
    <t>P9850</t>
  </si>
  <si>
    <t>Copeiro</t>
  </si>
  <si>
    <t>P9851</t>
  </si>
  <si>
    <t>Médico do trabalho</t>
  </si>
  <si>
    <t>P9852</t>
  </si>
  <si>
    <t>Blaster</t>
  </si>
  <si>
    <t>P9853</t>
  </si>
  <si>
    <t>Pré-marcador</t>
  </si>
  <si>
    <t>P9854</t>
  </si>
  <si>
    <t>Recepcionista</t>
  </si>
  <si>
    <t>P9855</t>
  </si>
  <si>
    <t>Marinheiro de máquinas</t>
  </si>
  <si>
    <t>P9856</t>
  </si>
  <si>
    <t>Marinheiro de convés</t>
  </si>
  <si>
    <t>P9857</t>
  </si>
  <si>
    <t>Marinheiro de convés - mensalista</t>
  </si>
  <si>
    <t>P9858</t>
  </si>
  <si>
    <t>Laboratorista</t>
  </si>
  <si>
    <t>P9859</t>
  </si>
  <si>
    <t>Trabalhador de via</t>
  </si>
  <si>
    <t>P9860</t>
  </si>
  <si>
    <t>Mergulhador</t>
  </si>
  <si>
    <t>P9861</t>
  </si>
  <si>
    <t>Selecionador de material pétreo</t>
  </si>
  <si>
    <t>P9864</t>
  </si>
  <si>
    <t>Engenheiro de segurança do trabalho</t>
  </si>
  <si>
    <t>P9865</t>
  </si>
  <si>
    <t>Técnico em enfermagem</t>
  </si>
  <si>
    <t>P9866</t>
  </si>
  <si>
    <t>Motorista de caminhão</t>
  </si>
  <si>
    <t>P9867</t>
  </si>
  <si>
    <t>Técnico especializado - mensalista</t>
  </si>
  <si>
    <t>P9869</t>
  </si>
  <si>
    <t>Encarregado de obras de artes especiais</t>
  </si>
  <si>
    <t>P9870</t>
  </si>
  <si>
    <t>Motorista de veículo leve</t>
  </si>
  <si>
    <t>P9871</t>
  </si>
  <si>
    <t>Motorista de veículo especial</t>
  </si>
  <si>
    <t>P9875</t>
  </si>
  <si>
    <t>P9876</t>
  </si>
  <si>
    <t>Técnico de segurança do trabalho</t>
  </si>
  <si>
    <t>P9878</t>
  </si>
  <si>
    <t>Secretária</t>
  </si>
  <si>
    <t>P9880</t>
  </si>
  <si>
    <t>Piloto fluvial</t>
  </si>
  <si>
    <t>P9882</t>
  </si>
  <si>
    <t>Técnico especializado</t>
  </si>
  <si>
    <t>P9883</t>
  </si>
  <si>
    <t>Chefe do setor administrativo</t>
  </si>
  <si>
    <t>P9884</t>
  </si>
  <si>
    <t>Encarregado de terraplenagem</t>
  </si>
  <si>
    <t>P9885</t>
  </si>
  <si>
    <t>Frentista de túnel</t>
  </si>
  <si>
    <t>P9889</t>
  </si>
  <si>
    <t>Técnico da qualidade</t>
  </si>
  <si>
    <t>P9891</t>
  </si>
  <si>
    <t>Engenheiro mecânico</t>
  </si>
  <si>
    <t>P9892</t>
  </si>
  <si>
    <t>Auxiliar de blaster</t>
  </si>
  <si>
    <t>P9893</t>
  </si>
  <si>
    <t>Encarregado de pavimentação</t>
  </si>
  <si>
    <t>P9896</t>
  </si>
  <si>
    <t>Porteiro</t>
  </si>
  <si>
    <t>P9897</t>
  </si>
  <si>
    <t>Técnico de meio ambiente</t>
  </si>
  <si>
    <t>P9900</t>
  </si>
  <si>
    <t>Comprador</t>
  </si>
  <si>
    <t>P9901</t>
  </si>
  <si>
    <t>Encarregado de superestrutura ferroviária</t>
  </si>
  <si>
    <t>P9903</t>
  </si>
  <si>
    <t>Auxiliar técnico</t>
  </si>
  <si>
    <t>P9907</t>
  </si>
  <si>
    <t>Comandante de longo curso</t>
  </si>
  <si>
    <t>P9908</t>
  </si>
  <si>
    <t>Imediato</t>
  </si>
  <si>
    <t>P9909</t>
  </si>
  <si>
    <t>Oficial de náutica</t>
  </si>
  <si>
    <t>P9910</t>
  </si>
  <si>
    <t>Oficial de máquinas</t>
  </si>
  <si>
    <t>P9911</t>
  </si>
  <si>
    <t>Condutor de máquinas</t>
  </si>
  <si>
    <t>P9912</t>
  </si>
  <si>
    <t>Capitão fluvial com periculosidade</t>
  </si>
  <si>
    <t>P9913</t>
  </si>
  <si>
    <t>Draguista</t>
  </si>
  <si>
    <t>P9915</t>
  </si>
  <si>
    <t>Maquinista</t>
  </si>
  <si>
    <t>P9920</t>
  </si>
  <si>
    <t>Mestre fluvial</t>
  </si>
  <si>
    <t>P9923</t>
  </si>
  <si>
    <t>Mergulhador com periculosidade</t>
  </si>
  <si>
    <t>P9927</t>
  </si>
  <si>
    <t>Frentista de túnel com periculosidade</t>
  </si>
  <si>
    <t>P9928</t>
  </si>
  <si>
    <t>Servente com periculosidade</t>
  </si>
  <si>
    <t>P9929</t>
  </si>
  <si>
    <t>Bombeiro hidráulico com periculosidade</t>
  </si>
  <si>
    <t>P9930</t>
  </si>
  <si>
    <t>Eletricista com periculosidade</t>
  </si>
  <si>
    <t>P9932</t>
  </si>
  <si>
    <t>Operador de equipamento pesado com periculosidade</t>
  </si>
  <si>
    <t>P9934</t>
  </si>
  <si>
    <t>Motorista de veículo especial com periculosidade</t>
  </si>
  <si>
    <t>P9938</t>
  </si>
  <si>
    <t>Operador de equipamento leve com periculosidade</t>
  </si>
  <si>
    <t>P9939</t>
  </si>
  <si>
    <t>Operador de equipamento leve com insalubridade</t>
  </si>
  <si>
    <t>P9940</t>
  </si>
  <si>
    <t>Piloto fluvial com periculosidade</t>
  </si>
  <si>
    <t>P9941</t>
  </si>
  <si>
    <t>Mestre fluvial com periculosidade</t>
  </si>
  <si>
    <t>P9942</t>
  </si>
  <si>
    <t>Marinheiro de convés com periculosidade</t>
  </si>
  <si>
    <t>P9943</t>
  </si>
  <si>
    <t>Técnico de batimetria com periculosidade</t>
  </si>
  <si>
    <t>P9944</t>
  </si>
  <si>
    <t>Operador de equipamento especial com periculosidade</t>
  </si>
  <si>
    <t>P9945</t>
  </si>
  <si>
    <t>Draguista com periculosidade</t>
  </si>
  <si>
    <t>P9946</t>
  </si>
  <si>
    <t>Engenheiro auxiliar</t>
  </si>
  <si>
    <t>P9947</t>
  </si>
  <si>
    <t>Técnico florestal</t>
  </si>
  <si>
    <t>P9948</t>
  </si>
  <si>
    <t>Motorista de veículo leve - mensalista</t>
  </si>
  <si>
    <t>P9949</t>
  </si>
  <si>
    <t>Topógrafo</t>
  </si>
  <si>
    <t>P9950</t>
  </si>
  <si>
    <t>Auxiliar de topografia</t>
  </si>
  <si>
    <t>P9951</t>
  </si>
  <si>
    <t>Médico de câmara hiperbárica</t>
  </si>
  <si>
    <t>P9952</t>
  </si>
  <si>
    <t>Pedreiro - mensalista</t>
  </si>
  <si>
    <t>P9953</t>
  </si>
  <si>
    <t>Eletricista - mensalista</t>
  </si>
  <si>
    <t>P9954</t>
  </si>
  <si>
    <t>Servente - mensalista</t>
  </si>
  <si>
    <t>P9955</t>
  </si>
  <si>
    <t>Engenheiro chefe</t>
  </si>
  <si>
    <t>P9956</t>
  </si>
  <si>
    <t>Motorista de caminhão com periculosidade</t>
  </si>
  <si>
    <t>P9972</t>
  </si>
  <si>
    <t>Técnico de batimetria</t>
  </si>
  <si>
    <t xml:space="preserve">4011464             </t>
  </si>
  <si>
    <t>EXECUÇÃO DE CONCRETO ASFÁLTICO, ESPESSURA 4 CM, EXCETO USINAGEM E LIGANTE</t>
  </si>
  <si>
    <t>M0783-COTAÇÃO</t>
  </si>
  <si>
    <t xml:space="preserve">M0783-COTAÇÃO    </t>
  </si>
  <si>
    <t>MASSA ASFÁLTICA COMERCIAL - CAPA DE ROLAMENTO</t>
  </si>
  <si>
    <t>MASSA ASFÁLTICA COMERCIAL - VERA CRUZ</t>
  </si>
  <si>
    <t>CONSER</t>
  </si>
  <si>
    <t>PAV</t>
  </si>
  <si>
    <t>EMULSÃO</t>
  </si>
  <si>
    <t>CAP</t>
  </si>
  <si>
    <t>CAP POL</t>
  </si>
  <si>
    <t>EMULSÃO POL</t>
  </si>
  <si>
    <t>MOB</t>
  </si>
  <si>
    <t>INCC</t>
  </si>
  <si>
    <t>ADM</t>
  </si>
  <si>
    <t>COTAÇÕES</t>
  </si>
  <si>
    <t>SERVIÇO</t>
  </si>
  <si>
    <t>EMPRESA</t>
  </si>
  <si>
    <t>LOCALIZAÇÃO</t>
  </si>
  <si>
    <t>COTAÇÃO</t>
  </si>
  <si>
    <t>DATA ORÇAMENTO</t>
  </si>
  <si>
    <t>DATA BASE</t>
  </si>
  <si>
    <t>PREÇO ADOTADO</t>
  </si>
  <si>
    <t>R$</t>
  </si>
  <si>
    <t>UNID</t>
  </si>
  <si>
    <t xml:space="preserve">DATA </t>
  </si>
  <si>
    <t>INDICE</t>
  </si>
  <si>
    <t>ABRIL.2022</t>
  </si>
  <si>
    <t>USINAGEM DE CBUQ  - FOB</t>
  </si>
  <si>
    <t>DITREVI</t>
  </si>
  <si>
    <t>VERA CRUZ-RS</t>
  </si>
  <si>
    <t>PAV-FGV</t>
  </si>
  <si>
    <t>RGS</t>
  </si>
  <si>
    <t>CONPASUL</t>
  </si>
  <si>
    <t>ATUALIZAÇÃO POR ÍNDICES SETORIAIS</t>
  </si>
  <si>
    <t>TABELA</t>
  </si>
  <si>
    <t>ÍNDICE</t>
  </si>
  <si>
    <t>ORIGINAL</t>
  </si>
  <si>
    <t>ATUALIZADA</t>
  </si>
  <si>
    <t>COEFICIENTE A SER APLICADO NO PREÇO ORIGINAL</t>
  </si>
  <si>
    <t>SICRO RS</t>
  </si>
  <si>
    <t>TERRAP</t>
  </si>
  <si>
    <t>VALOR TOTAL (PI+R) - AGOSTO/2022</t>
  </si>
  <si>
    <t>16/01/22</t>
  </si>
  <si>
    <t>3.2</t>
  </si>
  <si>
    <t>3.3</t>
  </si>
  <si>
    <t>1.3</t>
  </si>
  <si>
    <t>1.4</t>
  </si>
  <si>
    <t>1.5</t>
  </si>
  <si>
    <t>1.6</t>
  </si>
  <si>
    <t>1.7</t>
  </si>
  <si>
    <t>1.8</t>
  </si>
  <si>
    <t>1.9</t>
  </si>
  <si>
    <t>Aumento de patologias entre a data da proposta
e a assunção da Concessionária</t>
  </si>
  <si>
    <t xml:space="preserve"> ONERADO</t>
  </si>
  <si>
    <t xml:space="preserve"> ODERADO</t>
  </si>
  <si>
    <t>TRANSPORTE DE CONCRETO ASFÁLTICO (DMT 50KM)</t>
  </si>
  <si>
    <t>FORNECIMENTO DE CAP 55/75 (teor de 5,15%)</t>
  </si>
  <si>
    <t>FORNECIMENTO DE EMULSÃO RC-1C (2,25 litros / m2, considerando as duas camadas)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</si>
</sst>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#,##0.000_);\(#,##0.000\)"/>
    <numFmt numFmtId="166" formatCode="mmmm\-yy;@"/>
    <numFmt numFmtId="167" formatCode="_(* #,##0.000_);_(* \(#,##0.000\);_(* \-??_);_(@_)"/>
    <numFmt numFmtId="168" formatCode="_-* #,##0.0000_-;\-* #,##0.0000_-;_-* &quot;-&quot;??_-;_-@_-"/>
    <numFmt numFmtId="169" formatCode="0.000"/>
    <numFmt numFmtId="170" formatCode="#,##0.0000"/>
    <numFmt numFmtId="171" formatCode="0.000\ &quot;KM&quot;"/>
    <numFmt numFmtId="172" formatCode="0.00\ &quot;Km&quot;"/>
    <numFmt numFmtId="173" formatCode="0.0000%"/>
    <numFmt numFmtId="174" formatCode="0.000%"/>
    <numFmt numFmtId="175" formatCode="#,##0.00000;\-#,##0.00000"/>
    <numFmt numFmtId="176" formatCode="#,##0.0000;\-#,##0.0000"/>
    <numFmt numFmtId="177" formatCode="###0.00000"/>
    <numFmt numFmtId="178" formatCode="######0.000000"/>
    <numFmt numFmtId="179" formatCode="####0.000000"/>
    <numFmt numFmtId="180" formatCode="###,###,##0.00"/>
    <numFmt numFmtId="181" formatCode="###,###,##0.0000"/>
    <numFmt numFmtId="182" formatCode="_(* #,##0.0000_);_(* \(#,##0.0000\);_(* &quot;-&quot;??_);_(@_)"/>
    <numFmt numFmtId="183" formatCode="####0.00000"/>
    <numFmt numFmtId="184" formatCode="#,###,##0.000"/>
    <numFmt numFmtId="185" formatCode="####0.0000"/>
    <numFmt numFmtId="186" formatCode="0.0"/>
    <numFmt numFmtId="187" formatCode="#,##0.000"/>
    <numFmt numFmtId="188" formatCode="_-* #,##0.000_-;\-* #,##0.000_-;_-* &quot;-&quot;??_-;_-@_-"/>
    <numFmt numFmtId="189" formatCode="#,##0.000;[Red]\-#,##0.000"/>
    <numFmt numFmtId="190" formatCode="#,##0.0000_);\(#,##0.0000\)"/>
    <numFmt numFmtId="191" formatCode="#,##0.000_);[Red]\(#,##0.000\)"/>
    <numFmt numFmtId="192" formatCode="&quot;R$&quot;\ #,##0.00"/>
  </numFmts>
  <fonts count="9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Courier"/>
      <family val="3"/>
    </font>
    <font>
      <sz val="10"/>
      <name val="MS Sans Serif"/>
      <family val="2"/>
    </font>
    <font>
      <sz val="10"/>
      <name val="Courier New"/>
      <family val="3"/>
    </font>
    <font>
      <b/>
      <sz val="15"/>
      <color indexed="62"/>
      <name val="Calibri"/>
      <family val="2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4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ourier"/>
      <family val="3"/>
    </font>
    <font>
      <b/>
      <sz val="14"/>
      <name val="Arial"/>
      <family val="2"/>
    </font>
    <font>
      <b/>
      <sz val="10"/>
      <name val="Courier"/>
      <family val="3"/>
    </font>
    <font>
      <b/>
      <u/>
      <sz val="12"/>
      <name val="Arial"/>
      <family val="2"/>
    </font>
    <font>
      <b/>
      <sz val="9"/>
      <name val="Calibri"/>
      <family val="2"/>
    </font>
    <font>
      <sz val="9"/>
      <name val="Calibri"/>
      <family val="2"/>
    </font>
    <font>
      <sz val="9"/>
      <color indexed="8"/>
      <name val="Calibri"/>
      <family val="2"/>
    </font>
    <font>
      <sz val="12"/>
      <color indexed="8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6"/>
      <color indexed="8"/>
      <name val="Arial"/>
      <family val="2"/>
    </font>
    <font>
      <b/>
      <sz val="12"/>
      <name val="Calibri"/>
      <family val="2"/>
    </font>
    <font>
      <sz val="12"/>
      <color indexed="9"/>
      <name val="Arial"/>
      <family val="2"/>
    </font>
    <font>
      <b/>
      <sz val="12"/>
      <color indexed="9"/>
      <name val="Arial"/>
      <family val="2"/>
    </font>
    <font>
      <b/>
      <sz val="16"/>
      <name val="Calibri"/>
      <family val="2"/>
    </font>
    <font>
      <b/>
      <sz val="14"/>
      <name val="Calibri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i/>
      <sz val="12"/>
      <name val="Calibri"/>
      <family val="2"/>
    </font>
    <font>
      <sz val="10"/>
      <name val="Courier"/>
    </font>
    <font>
      <sz val="14"/>
      <color theme="1"/>
      <name val="Arial"/>
      <family val="2"/>
    </font>
    <font>
      <b/>
      <sz val="14"/>
      <color theme="0"/>
      <name val="Arial"/>
      <family val="2"/>
    </font>
    <font>
      <sz val="14"/>
      <name val="Courier"/>
      <family val="3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rgb="FF000000"/>
      <name val="Arial"/>
      <family val="2"/>
    </font>
    <font>
      <sz val="10"/>
      <color rgb="FF000000"/>
      <name val="Times New Roman"/>
      <family val="1"/>
    </font>
    <font>
      <sz val="9"/>
      <name val="Arial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2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9"/>
      <color theme="0"/>
      <name val="Arial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i/>
      <sz val="10"/>
      <color rgb="FF003770"/>
      <name val="Arial Black"/>
      <family val="2"/>
    </font>
    <font>
      <b/>
      <sz val="10"/>
      <color rgb="FF003770"/>
      <name val="Arial"/>
      <family val="2"/>
    </font>
    <font>
      <sz val="7"/>
      <color rgb="FF000000"/>
      <name val="Arial"/>
      <family val="2"/>
    </font>
    <font>
      <b/>
      <i/>
      <sz val="15"/>
      <color rgb="FF002060"/>
      <name val="Arial Black"/>
      <family val="2"/>
    </font>
    <font>
      <b/>
      <sz val="15"/>
      <color indexed="56"/>
      <name val="Arial Black"/>
      <family val="2"/>
    </font>
    <font>
      <b/>
      <sz val="15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3"/>
      <color theme="1"/>
      <name val="Arial"/>
      <family val="2"/>
    </font>
    <font>
      <sz val="11"/>
      <color theme="0"/>
      <name val="Arial"/>
      <family val="2"/>
    </font>
    <font>
      <sz val="8"/>
      <name val="Calibri"/>
      <family val="2"/>
      <scheme val="minor"/>
    </font>
    <font>
      <b/>
      <sz val="22"/>
      <color indexed="8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indexed="3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theme="0"/>
        <bgColor indexed="31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/>
      <diagonal/>
    </border>
    <border>
      <left style="thin">
        <color rgb="FF181818"/>
      </left>
      <right style="thin">
        <color rgb="FF181818"/>
      </right>
      <top style="thin">
        <color rgb="FF181818"/>
      </top>
      <bottom style="thin">
        <color rgb="FF18181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33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" fillId="0" borderId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39" fontId="4" fillId="0" borderId="0"/>
    <xf numFmtId="39" fontId="6" fillId="0" borderId="0"/>
    <xf numFmtId="39" fontId="6" fillId="0" borderId="0"/>
    <xf numFmtId="0" fontId="8" fillId="0" borderId="0"/>
    <xf numFmtId="39" fontId="6" fillId="0" borderId="0"/>
    <xf numFmtId="39" fontId="4" fillId="0" borderId="0"/>
    <xf numFmtId="39" fontId="4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9" fontId="4" fillId="0" borderId="0"/>
    <xf numFmtId="39" fontId="6" fillId="0" borderId="0"/>
    <xf numFmtId="39" fontId="4" fillId="0" borderId="0"/>
    <xf numFmtId="39" fontId="4" fillId="0" borderId="0"/>
    <xf numFmtId="39" fontId="4" fillId="0" borderId="0"/>
    <xf numFmtId="39" fontId="4" fillId="0" borderId="0"/>
    <xf numFmtId="39" fontId="4" fillId="0" borderId="0"/>
    <xf numFmtId="39" fontId="4" fillId="0" borderId="0"/>
    <xf numFmtId="0" fontId="8" fillId="0" borderId="0"/>
    <xf numFmtId="0" fontId="5" fillId="0" borderId="0"/>
    <xf numFmtId="39" fontId="4" fillId="0" borderId="0"/>
    <xf numFmtId="39" fontId="6" fillId="0" borderId="0"/>
    <xf numFmtId="9" fontId="3" fillId="0" borderId="0" applyFont="0" applyFill="0" applyBorder="0" applyAlignment="0" applyProtection="0"/>
    <xf numFmtId="9" fontId="6" fillId="0" borderId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6" fillId="0" borderId="0" applyFill="0" applyBorder="0" applyAlignment="0" applyProtection="0"/>
    <xf numFmtId="39" fontId="7" fillId="0" borderId="9" applyFill="0" applyAlignment="0" applyProtection="0"/>
    <xf numFmtId="39" fontId="7" fillId="0" borderId="10" applyFill="0" applyAlignment="0" applyProtection="0"/>
    <xf numFmtId="43" fontId="3" fillId="0" borderId="0" applyFont="0" applyFill="0" applyBorder="0" applyAlignment="0" applyProtection="0"/>
    <xf numFmtId="40" fontId="6" fillId="0" borderId="0" applyFill="0" applyBorder="0" applyAlignment="0" applyProtection="0"/>
    <xf numFmtId="40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39" fontId="4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50" fillId="0" borderId="0" applyNumberFormat="0" applyFill="0" applyBorder="0" applyAlignment="0" applyProtection="0"/>
    <xf numFmtId="0" fontId="51" fillId="0" borderId="24" applyNumberFormat="0" applyFill="0" applyAlignment="0" applyProtection="0"/>
    <xf numFmtId="0" fontId="52" fillId="0" borderId="25" applyNumberFormat="0" applyFill="0" applyAlignment="0" applyProtection="0"/>
    <xf numFmtId="0" fontId="53" fillId="0" borderId="26" applyNumberFormat="0" applyFill="0" applyAlignment="0" applyProtection="0"/>
    <xf numFmtId="0" fontId="53" fillId="0" borderId="0" applyNumberFormat="0" applyFill="0" applyBorder="0" applyAlignment="0" applyProtection="0"/>
    <xf numFmtId="0" fontId="54" fillId="8" borderId="0" applyNumberFormat="0" applyBorder="0" applyAlignment="0" applyProtection="0"/>
    <xf numFmtId="0" fontId="55" fillId="9" borderId="0" applyNumberFormat="0" applyBorder="0" applyAlignment="0" applyProtection="0"/>
    <xf numFmtId="0" fontId="56" fillId="10" borderId="0" applyNumberFormat="0" applyBorder="0" applyAlignment="0" applyProtection="0"/>
    <xf numFmtId="0" fontId="57" fillId="11" borderId="27" applyNumberFormat="0" applyAlignment="0" applyProtection="0"/>
    <xf numFmtId="0" fontId="58" fillId="12" borderId="28" applyNumberFormat="0" applyAlignment="0" applyProtection="0"/>
    <xf numFmtId="0" fontId="59" fillId="12" borderId="27" applyNumberFormat="0" applyAlignment="0" applyProtection="0"/>
    <xf numFmtId="0" fontId="60" fillId="0" borderId="29" applyNumberFormat="0" applyFill="0" applyAlignment="0" applyProtection="0"/>
    <xf numFmtId="0" fontId="61" fillId="13" borderId="30" applyNumberFormat="0" applyAlignment="0" applyProtection="0"/>
    <xf numFmtId="0" fontId="62" fillId="0" borderId="0" applyNumberFormat="0" applyFill="0" applyBorder="0" applyAlignment="0" applyProtection="0"/>
    <xf numFmtId="0" fontId="2" fillId="14" borderId="31" applyNumberFormat="0" applyFont="0" applyAlignment="0" applyProtection="0"/>
    <xf numFmtId="0" fontId="63" fillId="0" borderId="0" applyNumberFormat="0" applyFill="0" applyBorder="0" applyAlignment="0" applyProtection="0"/>
    <xf numFmtId="0" fontId="1" fillId="0" borderId="32" applyNumberFormat="0" applyFill="0" applyAlignment="0" applyProtection="0"/>
    <xf numFmtId="0" fontId="64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64" fillId="22" borderId="0" applyNumberFormat="0" applyBorder="0" applyAlignment="0" applyProtection="0"/>
    <xf numFmtId="0" fontId="64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64" fillId="26" borderId="0" applyNumberFormat="0" applyBorder="0" applyAlignment="0" applyProtection="0"/>
    <xf numFmtId="0" fontId="64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64" fillId="30" borderId="0" applyNumberFormat="0" applyBorder="0" applyAlignment="0" applyProtection="0"/>
    <xf numFmtId="0" fontId="64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64" fillId="34" borderId="0" applyNumberFormat="0" applyBorder="0" applyAlignment="0" applyProtection="0"/>
    <xf numFmtId="0" fontId="64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64" fillId="38" borderId="0" applyNumberFormat="0" applyBorder="0" applyAlignment="0" applyProtection="0"/>
    <xf numFmtId="0" fontId="66" fillId="0" borderId="0"/>
    <xf numFmtId="39" fontId="44" fillId="0" borderId="0"/>
    <xf numFmtId="0" fontId="8" fillId="0" borderId="0"/>
    <xf numFmtId="9" fontId="8" fillId="0" borderId="0" applyFont="0" applyFill="0" applyBorder="0" applyAlignment="0" applyProtection="0"/>
    <xf numFmtId="39" fontId="4" fillId="0" borderId="0"/>
    <xf numFmtId="40" fontId="6" fillId="0" borderId="0" applyFill="0" applyBorder="0" applyAlignment="0" applyProtection="0"/>
    <xf numFmtId="9" fontId="6" fillId="0" borderId="0" applyFill="0" applyBorder="0" applyAlignment="0" applyProtection="0"/>
  </cellStyleXfs>
  <cellXfs count="936">
    <xf numFmtId="0" fontId="0" fillId="0" borderId="0" xfId="0"/>
    <xf numFmtId="0" fontId="0" fillId="0" borderId="0" xfId="0"/>
    <xf numFmtId="166" fontId="29" fillId="0" borderId="0" xfId="41" applyNumberFormat="1" applyFont="1"/>
    <xf numFmtId="39" fontId="29" fillId="0" borderId="0" xfId="41" applyFont="1" applyAlignment="1">
      <alignment horizontal="right"/>
    </xf>
    <xf numFmtId="10" fontId="30" fillId="0" borderId="0" xfId="60" applyNumberFormat="1" applyFont="1" applyAlignment="1">
      <alignment vertical="center"/>
    </xf>
    <xf numFmtId="167" fontId="30" fillId="0" borderId="0" xfId="64" applyNumberFormat="1" applyFont="1" applyAlignment="1">
      <alignment vertical="center"/>
    </xf>
    <xf numFmtId="0" fontId="0" fillId="0" borderId="13" xfId="0" applyBorder="1"/>
    <xf numFmtId="39" fontId="29" fillId="0" borderId="0" xfId="36" applyFont="1"/>
    <xf numFmtId="39" fontId="36" fillId="2" borderId="6" xfId="36" applyFont="1" applyFill="1" applyBorder="1" applyAlignment="1">
      <alignment horizontal="center" vertical="center"/>
    </xf>
    <xf numFmtId="10" fontId="36" fillId="2" borderId="1" xfId="37" applyNumberFormat="1" applyFont="1" applyFill="1" applyBorder="1" applyAlignment="1">
      <alignment horizontal="center" vertical="center"/>
    </xf>
    <xf numFmtId="10" fontId="37" fillId="2" borderId="3" xfId="37" applyNumberFormat="1" applyFont="1" applyFill="1" applyBorder="1" applyAlignment="1">
      <alignment vertical="center"/>
    </xf>
    <xf numFmtId="10" fontId="37" fillId="2" borderId="4" xfId="37" applyNumberFormat="1" applyFont="1" applyFill="1" applyBorder="1" applyAlignment="1">
      <alignment vertical="center"/>
    </xf>
    <xf numFmtId="10" fontId="37" fillId="2" borderId="2" xfId="37" applyNumberFormat="1" applyFont="1" applyFill="1" applyBorder="1" applyAlignment="1">
      <alignment vertical="center"/>
    </xf>
    <xf numFmtId="10" fontId="37" fillId="2" borderId="1" xfId="51" applyNumberFormat="1" applyFont="1" applyFill="1" applyBorder="1" applyAlignment="1">
      <alignment horizontal="center" vertical="center"/>
    </xf>
    <xf numFmtId="0" fontId="0" fillId="3" borderId="0" xfId="0" applyFill="1"/>
    <xf numFmtId="4" fontId="13" fillId="4" borderId="18" xfId="21" applyNumberFormat="1" applyFont="1" applyFill="1" applyBorder="1" applyAlignment="1">
      <alignment horizontal="center" vertical="center" wrapText="1"/>
    </xf>
    <xf numFmtId="0" fontId="16" fillId="3" borderId="0" xfId="0" applyFont="1" applyFill="1"/>
    <xf numFmtId="0" fontId="34" fillId="3" borderId="15" xfId="0" applyFont="1" applyFill="1" applyBorder="1"/>
    <xf numFmtId="0" fontId="19" fillId="3" borderId="0" xfId="0" applyFont="1" applyFill="1" applyAlignment="1" applyProtection="1">
      <alignment horizontal="left"/>
      <protection hidden="1"/>
    </xf>
    <xf numFmtId="0" fontId="34" fillId="3" borderId="0" xfId="0" applyFont="1" applyFill="1" applyAlignment="1">
      <alignment horizontal="left"/>
    </xf>
    <xf numFmtId="0" fontId="34" fillId="3" borderId="13" xfId="0" applyFont="1" applyFill="1" applyBorder="1" applyAlignment="1">
      <alignment horizontal="left"/>
    </xf>
    <xf numFmtId="0" fontId="16" fillId="3" borderId="15" xfId="0" applyFont="1" applyFill="1" applyBorder="1"/>
    <xf numFmtId="0" fontId="16" fillId="3" borderId="0" xfId="0" applyFont="1" applyFill="1" applyBorder="1"/>
    <xf numFmtId="0" fontId="10" fillId="3" borderId="0" xfId="0" applyFont="1" applyFill="1" applyBorder="1" applyAlignment="1">
      <alignment horizontal="left"/>
    </xf>
    <xf numFmtId="0" fontId="10" fillId="3" borderId="13" xfId="0" applyFont="1" applyFill="1" applyBorder="1" applyAlignment="1">
      <alignment horizontal="left"/>
    </xf>
    <xf numFmtId="0" fontId="10" fillId="3" borderId="0" xfId="0" applyFont="1" applyFill="1" applyAlignment="1">
      <alignment horizontal="left"/>
    </xf>
    <xf numFmtId="0" fontId="16" fillId="3" borderId="13" xfId="0" applyFont="1" applyFill="1" applyBorder="1"/>
    <xf numFmtId="0" fontId="18" fillId="3" borderId="15" xfId="0" applyFont="1" applyFill="1" applyBorder="1"/>
    <xf numFmtId="0" fontId="18" fillId="3" borderId="0" xfId="0" applyFont="1" applyFill="1"/>
    <xf numFmtId="39" fontId="13" fillId="3" borderId="0" xfId="0" applyNumberFormat="1" applyFont="1" applyFill="1"/>
    <xf numFmtId="0" fontId="12" fillId="3" borderId="0" xfId="0" applyFont="1" applyFill="1"/>
    <xf numFmtId="39" fontId="23" fillId="3" borderId="0" xfId="0" applyNumberFormat="1" applyFont="1" applyFill="1" applyAlignment="1">
      <alignment wrapText="1"/>
    </xf>
    <xf numFmtId="39" fontId="23" fillId="3" borderId="13" xfId="0" applyNumberFormat="1" applyFont="1" applyFill="1" applyBorder="1" applyAlignment="1">
      <alignment wrapText="1"/>
    </xf>
    <xf numFmtId="169" fontId="12" fillId="3" borderId="0" xfId="0" applyNumberFormat="1" applyFont="1" applyFill="1" applyAlignment="1">
      <alignment horizontal="left"/>
    </xf>
    <xf numFmtId="49" fontId="13" fillId="3" borderId="0" xfId="0" applyNumberFormat="1" applyFont="1" applyFill="1" applyAlignment="1">
      <alignment wrapText="1"/>
    </xf>
    <xf numFmtId="49" fontId="23" fillId="3" borderId="13" xfId="0" applyNumberFormat="1" applyFont="1" applyFill="1" applyBorder="1" applyAlignment="1">
      <alignment wrapText="1"/>
    </xf>
    <xf numFmtId="2" fontId="12" fillId="3" borderId="0" xfId="0" applyNumberFormat="1" applyFont="1" applyFill="1" applyAlignment="1">
      <alignment horizontal="left"/>
    </xf>
    <xf numFmtId="171" fontId="13" fillId="3" borderId="0" xfId="0" applyNumberFormat="1" applyFont="1" applyFill="1" applyAlignment="1">
      <alignment horizontal="center" wrapText="1"/>
    </xf>
    <xf numFmtId="171" fontId="23" fillId="3" borderId="13" xfId="0" applyNumberFormat="1" applyFont="1" applyFill="1" applyBorder="1" applyAlignment="1">
      <alignment horizontal="center" wrapText="1"/>
    </xf>
    <xf numFmtId="0" fontId="13" fillId="3" borderId="0" xfId="0" applyFont="1" applyFill="1"/>
    <xf numFmtId="172" fontId="18" fillId="3" borderId="0" xfId="0" applyNumberFormat="1" applyFont="1" applyFill="1" applyBorder="1" applyAlignment="1">
      <alignment horizontal="center" wrapText="1"/>
    </xf>
    <xf numFmtId="0" fontId="16" fillId="3" borderId="16" xfId="0" applyFont="1" applyFill="1" applyBorder="1"/>
    <xf numFmtId="0" fontId="10" fillId="3" borderId="5" xfId="0" applyFont="1" applyFill="1" applyBorder="1"/>
    <xf numFmtId="0" fontId="16" fillId="3" borderId="5" xfId="0" applyFont="1" applyFill="1" applyBorder="1"/>
    <xf numFmtId="0" fontId="16" fillId="3" borderId="14" xfId="0" applyFont="1" applyFill="1" applyBorder="1"/>
    <xf numFmtId="0" fontId="10" fillId="3" borderId="0" xfId="0" applyFont="1" applyFill="1"/>
    <xf numFmtId="0" fontId="16" fillId="3" borderId="17" xfId="0" applyFont="1" applyFill="1" applyBorder="1"/>
    <xf numFmtId="0" fontId="10" fillId="3" borderId="11" xfId="0" applyFont="1" applyFill="1" applyBorder="1"/>
    <xf numFmtId="0" fontId="16" fillId="3" borderId="11" xfId="0" applyFont="1" applyFill="1" applyBorder="1"/>
    <xf numFmtId="0" fontId="16" fillId="3" borderId="12" xfId="0" applyFont="1" applyFill="1" applyBorder="1"/>
    <xf numFmtId="49" fontId="16" fillId="3" borderId="0" xfId="0" applyNumberFormat="1" applyFont="1" applyFill="1"/>
    <xf numFmtId="0" fontId="22" fillId="3" borderId="0" xfId="0" applyFont="1" applyFill="1"/>
    <xf numFmtId="0" fontId="27" fillId="3" borderId="0" xfId="0" applyFont="1" applyFill="1"/>
    <xf numFmtId="0" fontId="19" fillId="3" borderId="15" xfId="0" applyFont="1" applyFill="1" applyBorder="1" applyAlignment="1" applyProtection="1">
      <alignment horizontal="center"/>
      <protection hidden="1"/>
    </xf>
    <xf numFmtId="0" fontId="19" fillId="3" borderId="0" xfId="0" applyFont="1" applyFill="1" applyAlignment="1" applyProtection="1">
      <alignment horizontal="center"/>
      <protection hidden="1"/>
    </xf>
    <xf numFmtId="0" fontId="19" fillId="3" borderId="13" xfId="0" applyFont="1" applyFill="1" applyBorder="1" applyAlignment="1" applyProtection="1">
      <alignment horizontal="center"/>
      <protection hidden="1"/>
    </xf>
    <xf numFmtId="49" fontId="22" fillId="3" borderId="0" xfId="0" applyNumberFormat="1" applyFont="1" applyFill="1" applyAlignment="1">
      <alignment horizontal="left"/>
    </xf>
    <xf numFmtId="10" fontId="22" fillId="3" borderId="0" xfId="42" applyNumberFormat="1" applyFont="1" applyFill="1" applyAlignment="1">
      <alignment horizontal="left"/>
    </xf>
    <xf numFmtId="10" fontId="22" fillId="3" borderId="0" xfId="44" applyNumberFormat="1" applyFont="1" applyFill="1" applyBorder="1" applyAlignment="1">
      <alignment horizontal="left"/>
    </xf>
    <xf numFmtId="0" fontId="19" fillId="3" borderId="0" xfId="0" applyFont="1" applyFill="1" applyBorder="1" applyAlignment="1" applyProtection="1">
      <alignment horizontal="left"/>
      <protection hidden="1"/>
    </xf>
    <xf numFmtId="39" fontId="4" fillId="3" borderId="0" xfId="40" applyFill="1"/>
    <xf numFmtId="39" fontId="4" fillId="3" borderId="15" xfId="40" applyFill="1" applyBorder="1"/>
    <xf numFmtId="39" fontId="4" fillId="3" borderId="13" xfId="40" applyFill="1" applyBorder="1"/>
    <xf numFmtId="39" fontId="4" fillId="3" borderId="0" xfId="40" applyFill="1" applyBorder="1"/>
    <xf numFmtId="39" fontId="24" fillId="3" borderId="0" xfId="40" applyFont="1" applyFill="1" applyProtection="1">
      <protection hidden="1"/>
    </xf>
    <xf numFmtId="39" fontId="12" fillId="3" borderId="15" xfId="0" applyNumberFormat="1" applyFont="1" applyFill="1" applyBorder="1"/>
    <xf numFmtId="39" fontId="13" fillId="3" borderId="0" xfId="40" applyFont="1" applyFill="1" applyBorder="1" applyAlignment="1" applyProtection="1">
      <alignment horizontal="left"/>
      <protection hidden="1"/>
    </xf>
    <xf numFmtId="39" fontId="23" fillId="3" borderId="13" xfId="40" applyFont="1" applyFill="1" applyBorder="1"/>
    <xf numFmtId="39" fontId="23" fillId="3" borderId="0" xfId="40" applyFont="1" applyFill="1"/>
    <xf numFmtId="39" fontId="23" fillId="3" borderId="0" xfId="40" applyFont="1" applyFill="1" applyBorder="1"/>
    <xf numFmtId="39" fontId="12" fillId="3" borderId="16" xfId="0" applyNumberFormat="1" applyFont="1" applyFill="1" applyBorder="1"/>
    <xf numFmtId="39" fontId="23" fillId="3" borderId="5" xfId="40" applyFont="1" applyFill="1" applyBorder="1"/>
    <xf numFmtId="39" fontId="23" fillId="3" borderId="14" xfId="40" applyFont="1" applyFill="1" applyBorder="1"/>
    <xf numFmtId="0" fontId="0" fillId="3" borderId="0" xfId="0" applyFill="1" applyBorder="1"/>
    <xf numFmtId="0" fontId="22" fillId="3" borderId="0" xfId="0" applyFont="1" applyFill="1" applyBorder="1"/>
    <xf numFmtId="0" fontId="12" fillId="3" borderId="0" xfId="0" applyFont="1" applyFill="1" applyBorder="1" applyAlignment="1">
      <alignment vertical="center"/>
    </xf>
    <xf numFmtId="0" fontId="12" fillId="3" borderId="11" xfId="0" applyFont="1" applyFill="1" applyBorder="1" applyAlignment="1">
      <alignment vertical="center"/>
    </xf>
    <xf numFmtId="0" fontId="12" fillId="3" borderId="12" xfId="0" applyFont="1" applyFill="1" applyBorder="1" applyAlignment="1">
      <alignment vertical="center"/>
    </xf>
    <xf numFmtId="39" fontId="4" fillId="3" borderId="16" xfId="40" applyFill="1" applyBorder="1"/>
    <xf numFmtId="39" fontId="4" fillId="3" borderId="5" xfId="40" applyFill="1" applyBorder="1"/>
    <xf numFmtId="39" fontId="4" fillId="3" borderId="14" xfId="40" applyFill="1" applyBorder="1"/>
    <xf numFmtId="39" fontId="12" fillId="3" borderId="17" xfId="0" applyNumberFormat="1" applyFont="1" applyFill="1" applyBorder="1"/>
    <xf numFmtId="0" fontId="22" fillId="3" borderId="11" xfId="0" applyFont="1" applyFill="1" applyBorder="1"/>
    <xf numFmtId="0" fontId="22" fillId="3" borderId="12" xfId="0" applyFont="1" applyFill="1" applyBorder="1"/>
    <xf numFmtId="39" fontId="23" fillId="3" borderId="0" xfId="40" applyFont="1" applyFill="1" applyBorder="1" applyProtection="1">
      <protection hidden="1"/>
    </xf>
    <xf numFmtId="39" fontId="23" fillId="3" borderId="0" xfId="40" applyFont="1" applyFill="1" applyBorder="1" applyAlignment="1" applyProtection="1">
      <alignment horizontal="left"/>
      <protection hidden="1"/>
    </xf>
    <xf numFmtId="39" fontId="23" fillId="3" borderId="0" xfId="40" applyFont="1" applyFill="1" applyBorder="1" applyAlignment="1">
      <alignment horizontal="center"/>
    </xf>
    <xf numFmtId="39" fontId="4" fillId="3" borderId="0" xfId="40" applyFill="1" applyBorder="1" applyAlignment="1"/>
    <xf numFmtId="39" fontId="4" fillId="3" borderId="5" xfId="40" applyFill="1" applyBorder="1" applyAlignment="1"/>
    <xf numFmtId="39" fontId="44" fillId="3" borderId="0" xfId="81" applyFill="1"/>
    <xf numFmtId="0" fontId="43" fillId="3" borderId="0" xfId="0" applyFont="1" applyFill="1" applyBorder="1" applyAlignment="1">
      <alignment vertical="center"/>
    </xf>
    <xf numFmtId="39" fontId="20" fillId="3" borderId="12" xfId="81" applyFont="1" applyFill="1" applyBorder="1" applyProtection="1">
      <protection hidden="1"/>
    </xf>
    <xf numFmtId="39" fontId="47" fillId="3" borderId="0" xfId="81" applyFont="1" applyFill="1"/>
    <xf numFmtId="0" fontId="35" fillId="3" borderId="13" xfId="21" applyFont="1" applyFill="1" applyBorder="1" applyAlignment="1">
      <alignment horizontal="right" vertical="center"/>
    </xf>
    <xf numFmtId="39" fontId="47" fillId="3" borderId="13" xfId="81" applyFont="1" applyFill="1" applyBorder="1"/>
    <xf numFmtId="39" fontId="20" fillId="3" borderId="0" xfId="81" applyFont="1" applyFill="1" applyBorder="1" applyAlignment="1" applyProtection="1">
      <alignment vertical="center"/>
      <protection hidden="1"/>
    </xf>
    <xf numFmtId="39" fontId="26" fillId="3" borderId="0" xfId="81" applyFont="1" applyFill="1"/>
    <xf numFmtId="39" fontId="23" fillId="3" borderId="0" xfId="81" applyFont="1" applyFill="1" applyProtection="1">
      <protection hidden="1"/>
    </xf>
    <xf numFmtId="0" fontId="12" fillId="3" borderId="17" xfId="0" applyFont="1" applyFill="1" applyBorder="1" applyAlignment="1">
      <alignment horizontal="left" vertical="center"/>
    </xf>
    <xf numFmtId="39" fontId="24" fillId="3" borderId="13" xfId="40" applyFont="1" applyFill="1" applyBorder="1"/>
    <xf numFmtId="169" fontId="22" fillId="3" borderId="0" xfId="0" applyNumberFormat="1" applyFont="1" applyFill="1" applyBorder="1"/>
    <xf numFmtId="39" fontId="12" fillId="3" borderId="17" xfId="0" applyNumberFormat="1" applyFont="1" applyFill="1" applyBorder="1" applyAlignment="1">
      <alignment horizontal="right"/>
    </xf>
    <xf numFmtId="39" fontId="12" fillId="3" borderId="15" xfId="0" applyNumberFormat="1" applyFont="1" applyFill="1" applyBorder="1" applyAlignment="1">
      <alignment horizontal="right"/>
    </xf>
    <xf numFmtId="0" fontId="16" fillId="3" borderId="0" xfId="0" applyFont="1" applyFill="1" applyAlignment="1">
      <alignment horizontal="center"/>
    </xf>
    <xf numFmtId="0" fontId="20" fillId="3" borderId="16" xfId="0" applyFont="1" applyFill="1" applyBorder="1" applyAlignment="1"/>
    <xf numFmtId="0" fontId="20" fillId="3" borderId="5" xfId="0" applyFont="1" applyFill="1" applyBorder="1" applyAlignment="1"/>
    <xf numFmtId="39" fontId="8" fillId="3" borderId="0" xfId="81" applyFont="1" applyFill="1"/>
    <xf numFmtId="0" fontId="8" fillId="0" borderId="0" xfId="0" applyFont="1" applyAlignment="1">
      <alignment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10" fontId="16" fillId="3" borderId="0" xfId="3" applyNumberFormat="1" applyFont="1" applyFill="1"/>
    <xf numFmtId="10" fontId="20" fillId="3" borderId="5" xfId="3" applyNumberFormat="1" applyFont="1" applyFill="1" applyBorder="1" applyAlignment="1"/>
    <xf numFmtId="0" fontId="13" fillId="4" borderId="15" xfId="21" applyFont="1" applyFill="1" applyBorder="1" applyAlignment="1">
      <alignment horizontal="center" vertical="center"/>
    </xf>
    <xf numFmtId="4" fontId="13" fillId="4" borderId="7" xfId="21" applyNumberFormat="1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0" fontId="41" fillId="3" borderId="1" xfId="0" applyFont="1" applyFill="1" applyBorder="1" applyAlignment="1">
      <alignment horizontal="center" vertical="center"/>
    </xf>
    <xf numFmtId="44" fontId="41" fillId="3" borderId="1" xfId="0" applyNumberFormat="1" applyFont="1" applyFill="1" applyBorder="1" applyAlignment="1">
      <alignment horizontal="center" vertical="center"/>
    </xf>
    <xf numFmtId="44" fontId="11" fillId="3" borderId="18" xfId="2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0" borderId="0" xfId="0" applyFont="1" applyFill="1" applyBorder="1" applyAlignment="1" applyProtection="1">
      <alignment vertical="center"/>
      <protection hidden="1"/>
    </xf>
    <xf numFmtId="0" fontId="14" fillId="0" borderId="0" xfId="0" applyFont="1" applyBorder="1" applyAlignment="1">
      <alignment vertical="center"/>
    </xf>
    <xf numFmtId="39" fontId="23" fillId="3" borderId="11" xfId="81" applyFont="1" applyFill="1" applyBorder="1" applyProtection="1">
      <protection hidden="1"/>
    </xf>
    <xf numFmtId="39" fontId="23" fillId="3" borderId="11" xfId="81" applyFont="1" applyFill="1" applyBorder="1"/>
    <xf numFmtId="39" fontId="23" fillId="3" borderId="12" xfId="81" applyFont="1" applyFill="1" applyBorder="1"/>
    <xf numFmtId="39" fontId="23" fillId="3" borderId="0" xfId="81" applyFont="1" applyFill="1"/>
    <xf numFmtId="0" fontId="13" fillId="3" borderId="0" xfId="21" applyFont="1" applyFill="1" applyBorder="1" applyAlignment="1">
      <alignment horizontal="right" vertical="center"/>
    </xf>
    <xf numFmtId="39" fontId="23" fillId="3" borderId="0" xfId="81" applyFont="1" applyFill="1" applyBorder="1"/>
    <xf numFmtId="39" fontId="23" fillId="3" borderId="13" xfId="81" applyFont="1" applyFill="1" applyBorder="1"/>
    <xf numFmtId="39" fontId="8" fillId="3" borderId="0" xfId="40" applyFont="1" applyFill="1"/>
    <xf numFmtId="0" fontId="13" fillId="3" borderId="5" xfId="21" applyFont="1" applyFill="1" applyBorder="1" applyAlignment="1">
      <alignment horizontal="right" vertical="center"/>
    </xf>
    <xf numFmtId="39" fontId="11" fillId="3" borderId="5" xfId="81" applyFont="1" applyFill="1" applyBorder="1"/>
    <xf numFmtId="39" fontId="11" fillId="3" borderId="14" xfId="81" applyFont="1" applyFill="1" applyBorder="1"/>
    <xf numFmtId="39" fontId="11" fillId="3" borderId="0" xfId="81" applyFont="1" applyFill="1"/>
    <xf numFmtId="0" fontId="0" fillId="3" borderId="13" xfId="0" applyFill="1" applyBorder="1"/>
    <xf numFmtId="0" fontId="0" fillId="3" borderId="14" xfId="0" applyFill="1" applyBorder="1"/>
    <xf numFmtId="0" fontId="0" fillId="3" borderId="5" xfId="0" applyFill="1" applyBorder="1"/>
    <xf numFmtId="0" fontId="0" fillId="3" borderId="15" xfId="0" applyFill="1" applyBorder="1"/>
    <xf numFmtId="0" fontId="0" fillId="3" borderId="16" xfId="0" applyFill="1" applyBorder="1"/>
    <xf numFmtId="0" fontId="0" fillId="3" borderId="0" xfId="0" applyFill="1" applyAlignment="1">
      <alignment vertical="center"/>
    </xf>
    <xf numFmtId="0" fontId="23" fillId="3" borderId="13" xfId="21" applyFont="1" applyFill="1" applyBorder="1" applyAlignment="1">
      <alignment horizontal="left" vertical="center"/>
    </xf>
    <xf numFmtId="0" fontId="22" fillId="3" borderId="0" xfId="0" applyFont="1" applyFill="1" applyBorder="1" applyAlignment="1">
      <alignment vertical="center"/>
    </xf>
    <xf numFmtId="39" fontId="23" fillId="3" borderId="17" xfId="81" applyFont="1" applyFill="1" applyBorder="1" applyAlignment="1">
      <alignment vertical="center"/>
    </xf>
    <xf numFmtId="39" fontId="12" fillId="3" borderId="11" xfId="0" applyNumberFormat="1" applyFont="1" applyFill="1" applyBorder="1" applyAlignment="1">
      <alignment horizontal="right" vertical="center"/>
    </xf>
    <xf numFmtId="0" fontId="22" fillId="3" borderId="11" xfId="0" applyFont="1" applyFill="1" applyBorder="1" applyAlignment="1">
      <alignment vertical="center"/>
    </xf>
    <xf numFmtId="39" fontId="23" fillId="3" borderId="11" xfId="81" applyFont="1" applyFill="1" applyBorder="1" applyAlignment="1">
      <alignment vertical="center"/>
    </xf>
    <xf numFmtId="39" fontId="23" fillId="3" borderId="0" xfId="81" applyFont="1" applyFill="1" applyAlignment="1">
      <alignment vertical="center"/>
    </xf>
    <xf numFmtId="39" fontId="23" fillId="3" borderId="0" xfId="40" applyFont="1" applyFill="1" applyAlignment="1">
      <alignment vertical="center"/>
    </xf>
    <xf numFmtId="39" fontId="23" fillId="3" borderId="15" xfId="81" applyFont="1" applyFill="1" applyBorder="1" applyAlignment="1">
      <alignment vertical="center"/>
    </xf>
    <xf numFmtId="39" fontId="12" fillId="3" borderId="0" xfId="0" applyNumberFormat="1" applyFont="1" applyFill="1" applyBorder="1" applyAlignment="1">
      <alignment horizontal="right" vertical="center"/>
    </xf>
    <xf numFmtId="39" fontId="23" fillId="3" borderId="0" xfId="40" applyFont="1" applyFill="1" applyBorder="1" applyAlignment="1" applyProtection="1">
      <alignment horizontal="left" vertical="center"/>
      <protection hidden="1"/>
    </xf>
    <xf numFmtId="39" fontId="23" fillId="3" borderId="0" xfId="81" applyFont="1" applyFill="1" applyBorder="1" applyAlignment="1">
      <alignment vertical="center"/>
    </xf>
    <xf numFmtId="39" fontId="23" fillId="3" borderId="0" xfId="40" applyFont="1" applyFill="1" applyBorder="1" applyAlignment="1" applyProtection="1">
      <alignment vertical="center"/>
      <protection hidden="1"/>
    </xf>
    <xf numFmtId="39" fontId="12" fillId="3" borderId="16" xfId="0" applyNumberFormat="1" applyFont="1" applyFill="1" applyBorder="1" applyAlignment="1">
      <alignment horizontal="left" vertical="center"/>
    </xf>
    <xf numFmtId="39" fontId="23" fillId="3" borderId="5" xfId="81" applyFont="1" applyFill="1" applyBorder="1" applyAlignment="1">
      <alignment vertical="center"/>
    </xf>
    <xf numFmtId="10" fontId="23" fillId="3" borderId="13" xfId="3" applyNumberFormat="1" applyFont="1" applyFill="1" applyBorder="1" applyAlignment="1">
      <alignment horizontal="left" vertical="center"/>
    </xf>
    <xf numFmtId="10" fontId="23" fillId="3" borderId="14" xfId="3" applyNumberFormat="1" applyFont="1" applyFill="1" applyBorder="1" applyAlignment="1">
      <alignment horizontal="left" vertical="center"/>
    </xf>
    <xf numFmtId="44" fontId="41" fillId="3" borderId="1" xfId="2" applyFont="1" applyFill="1" applyBorder="1" applyAlignment="1">
      <alignment horizontal="center" vertical="center"/>
    </xf>
    <xf numFmtId="0" fontId="40" fillId="3" borderId="0" xfId="0" applyFont="1" applyFill="1" applyAlignment="1">
      <alignment horizontal="center" vertical="center"/>
    </xf>
    <xf numFmtId="0" fontId="48" fillId="3" borderId="0" xfId="0" applyFont="1" applyFill="1" applyAlignment="1">
      <alignment horizontal="center" vertical="center"/>
    </xf>
    <xf numFmtId="0" fontId="40" fillId="3" borderId="0" xfId="0" applyFont="1" applyFill="1" applyAlignment="1">
      <alignment horizontal="left" vertical="center"/>
    </xf>
    <xf numFmtId="0" fontId="40" fillId="3" borderId="0" xfId="0" applyFont="1" applyFill="1" applyAlignment="1">
      <alignment horizontal="left" vertical="center" wrapText="1"/>
    </xf>
    <xf numFmtId="10" fontId="40" fillId="3" borderId="0" xfId="3" applyNumberFormat="1" applyFont="1" applyFill="1" applyAlignment="1">
      <alignment horizontal="center" vertical="center"/>
    </xf>
    <xf numFmtId="168" fontId="40" fillId="0" borderId="0" xfId="1" applyNumberFormat="1" applyFont="1" applyAlignment="1">
      <alignment horizontal="center" vertical="center"/>
    </xf>
    <xf numFmtId="0" fontId="18" fillId="3" borderId="15" xfId="0" applyFont="1" applyFill="1" applyBorder="1" applyAlignment="1">
      <alignment vertical="center"/>
    </xf>
    <xf numFmtId="39" fontId="13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39" fontId="23" fillId="3" borderId="0" xfId="0" applyNumberFormat="1" applyFont="1" applyFill="1" applyAlignment="1">
      <alignment vertical="center" wrapText="1"/>
    </xf>
    <xf numFmtId="39" fontId="13" fillId="3" borderId="0" xfId="0" applyNumberFormat="1" applyFont="1" applyFill="1" applyAlignment="1">
      <alignment vertical="center" wrapText="1"/>
    </xf>
    <xf numFmtId="39" fontId="23" fillId="3" borderId="13" xfId="0" applyNumberFormat="1" applyFont="1" applyFill="1" applyBorder="1" applyAlignment="1">
      <alignment vertical="center" wrapText="1"/>
    </xf>
    <xf numFmtId="0" fontId="16" fillId="3" borderId="0" xfId="0" applyFont="1" applyFill="1" applyAlignment="1">
      <alignment vertical="center"/>
    </xf>
    <xf numFmtId="169" fontId="12" fillId="3" borderId="0" xfId="0" applyNumberFormat="1" applyFont="1" applyFill="1" applyAlignment="1">
      <alignment horizontal="left" vertical="center"/>
    </xf>
    <xf numFmtId="0" fontId="13" fillId="3" borderId="0" xfId="0" applyFont="1" applyFill="1" applyAlignment="1">
      <alignment vertical="center"/>
    </xf>
    <xf numFmtId="0" fontId="16" fillId="3" borderId="13" xfId="0" applyFont="1" applyFill="1" applyBorder="1" applyAlignment="1">
      <alignment vertical="center"/>
    </xf>
    <xf numFmtId="39" fontId="12" fillId="3" borderId="0" xfId="0" applyNumberFormat="1" applyFont="1" applyFill="1" applyBorder="1" applyAlignment="1">
      <alignment vertical="center"/>
    </xf>
    <xf numFmtId="39" fontId="23" fillId="3" borderId="5" xfId="40" applyFont="1" applyFill="1" applyBorder="1" applyAlignment="1" applyProtection="1">
      <alignment horizontal="right"/>
      <protection hidden="1"/>
    </xf>
    <xf numFmtId="10" fontId="35" fillId="3" borderId="14" xfId="21" applyNumberFormat="1" applyFont="1" applyFill="1" applyBorder="1" applyAlignment="1">
      <alignment horizontal="right" vertical="center"/>
    </xf>
    <xf numFmtId="39" fontId="29" fillId="0" borderId="0" xfId="41" applyFont="1" applyAlignment="1">
      <alignment vertical="center"/>
    </xf>
    <xf numFmtId="39" fontId="31" fillId="0" borderId="0" xfId="37" applyFont="1" applyAlignment="1">
      <alignment vertical="center"/>
    </xf>
    <xf numFmtId="39" fontId="32" fillId="0" borderId="0" xfId="41" applyFont="1" applyAlignment="1">
      <alignment vertical="center"/>
    </xf>
    <xf numFmtId="44" fontId="40" fillId="3" borderId="0" xfId="0" applyNumberFormat="1" applyFont="1" applyFill="1" applyAlignment="1">
      <alignment horizontal="center" vertical="center"/>
    </xf>
    <xf numFmtId="166" fontId="29" fillId="3" borderId="0" xfId="41" applyNumberFormat="1" applyFont="1" applyFill="1"/>
    <xf numFmtId="39" fontId="29" fillId="3" borderId="0" xfId="36" applyFont="1" applyFill="1"/>
    <xf numFmtId="0" fontId="12" fillId="3" borderId="1" xfId="0" applyFont="1" applyFill="1" applyBorder="1" applyAlignment="1">
      <alignment horizontal="center" vertical="center"/>
    </xf>
    <xf numFmtId="169" fontId="12" fillId="3" borderId="1" xfId="0" applyNumberFormat="1" applyFont="1" applyFill="1" applyBorder="1" applyAlignment="1">
      <alignment horizontal="center"/>
    </xf>
    <xf numFmtId="10" fontId="12" fillId="3" borderId="1" xfId="42" applyNumberFormat="1" applyFont="1" applyFill="1" applyBorder="1" applyAlignment="1">
      <alignment horizontal="center"/>
    </xf>
    <xf numFmtId="39" fontId="10" fillId="3" borderId="15" xfId="36" applyFont="1" applyFill="1" applyBorder="1"/>
    <xf numFmtId="39" fontId="10" fillId="3" borderId="13" xfId="36" applyFont="1" applyFill="1" applyBorder="1"/>
    <xf numFmtId="0" fontId="16" fillId="3" borderId="0" xfId="0" applyFont="1" applyFill="1" applyProtection="1">
      <protection hidden="1"/>
    </xf>
    <xf numFmtId="39" fontId="28" fillId="3" borderId="0" xfId="36" applyFont="1" applyFill="1" applyProtection="1">
      <protection hidden="1"/>
    </xf>
    <xf numFmtId="39" fontId="28" fillId="3" borderId="0" xfId="36" applyFont="1" applyFill="1" applyAlignment="1" applyProtection="1">
      <alignment vertical="center"/>
      <protection hidden="1"/>
    </xf>
    <xf numFmtId="39" fontId="29" fillId="3" borderId="0" xfId="14" applyFont="1" applyFill="1" applyAlignment="1" applyProtection="1">
      <alignment horizontal="left" vertical="center"/>
      <protection hidden="1"/>
    </xf>
    <xf numFmtId="0" fontId="8" fillId="3" borderId="0" xfId="0" applyFont="1" applyFill="1" applyProtection="1">
      <protection hidden="1"/>
    </xf>
    <xf numFmtId="0" fontId="14" fillId="3" borderId="0" xfId="0" applyFont="1" applyFill="1" applyBorder="1" applyAlignment="1"/>
    <xf numFmtId="39" fontId="29" fillId="3" borderId="17" xfId="36" applyFont="1" applyFill="1" applyBorder="1" applyAlignment="1" applyProtection="1">
      <alignment horizontal="left"/>
      <protection hidden="1"/>
    </xf>
    <xf numFmtId="39" fontId="28" fillId="3" borderId="12" xfId="36" quotePrefix="1" applyFont="1" applyFill="1" applyBorder="1" applyAlignment="1" applyProtection="1">
      <alignment horizontal="right"/>
      <protection hidden="1"/>
    </xf>
    <xf numFmtId="165" fontId="29" fillId="3" borderId="0" xfId="36" applyNumberFormat="1" applyFont="1" applyFill="1" applyAlignment="1" applyProtection="1">
      <alignment horizontal="left"/>
      <protection hidden="1"/>
    </xf>
    <xf numFmtId="39" fontId="29" fillId="3" borderId="15" xfId="36" applyFont="1" applyFill="1" applyBorder="1" applyAlignment="1" applyProtection="1">
      <alignment horizontal="left"/>
      <protection hidden="1"/>
    </xf>
    <xf numFmtId="39" fontId="35" fillId="3" borderId="0" xfId="36" applyFont="1" applyFill="1" applyBorder="1" applyAlignment="1" applyProtection="1">
      <alignment horizontal="center"/>
      <protection hidden="1"/>
    </xf>
    <xf numFmtId="39" fontId="28" fillId="3" borderId="13" xfId="36" quotePrefix="1" applyFont="1" applyFill="1" applyBorder="1" applyAlignment="1" applyProtection="1">
      <alignment horizontal="right"/>
      <protection hidden="1"/>
    </xf>
    <xf numFmtId="39" fontId="30" fillId="3" borderId="15" xfId="37" applyFont="1" applyFill="1" applyBorder="1" applyAlignment="1">
      <alignment vertical="center"/>
    </xf>
    <xf numFmtId="39" fontId="31" fillId="3" borderId="15" xfId="37" applyFont="1" applyFill="1" applyBorder="1" applyAlignment="1">
      <alignment vertical="center"/>
    </xf>
    <xf numFmtId="39" fontId="30" fillId="3" borderId="15" xfId="37" applyFont="1" applyFill="1" applyBorder="1"/>
    <xf numFmtId="39" fontId="28" fillId="3" borderId="13" xfId="36" quotePrefix="1" applyFont="1" applyFill="1" applyBorder="1" applyAlignment="1" applyProtection="1">
      <alignment horizontal="right" vertical="center"/>
      <protection hidden="1"/>
    </xf>
    <xf numFmtId="165" fontId="29" fillId="3" borderId="0" xfId="36" applyNumberFormat="1" applyFont="1" applyFill="1" applyAlignment="1" applyProtection="1">
      <alignment horizontal="left" vertical="center"/>
      <protection hidden="1"/>
    </xf>
    <xf numFmtId="39" fontId="29" fillId="3" borderId="13" xfId="14" applyFont="1" applyFill="1" applyBorder="1" applyAlignment="1" applyProtection="1">
      <alignment vertical="center"/>
      <protection hidden="1"/>
    </xf>
    <xf numFmtId="39" fontId="29" fillId="3" borderId="0" xfId="14" applyFont="1" applyFill="1" applyAlignment="1" applyProtection="1">
      <alignment vertical="center"/>
      <protection hidden="1"/>
    </xf>
    <xf numFmtId="39" fontId="30" fillId="3" borderId="13" xfId="37" applyFont="1" applyFill="1" applyBorder="1" applyAlignment="1">
      <alignment vertical="center"/>
    </xf>
    <xf numFmtId="39" fontId="29" fillId="3" borderId="0" xfId="36" applyFont="1" applyFill="1" applyAlignment="1">
      <alignment vertical="center"/>
    </xf>
    <xf numFmtId="166" fontId="29" fillId="3" borderId="0" xfId="41" applyNumberFormat="1" applyFont="1" applyFill="1" applyAlignment="1">
      <alignment vertical="center"/>
    </xf>
    <xf numFmtId="175" fontId="30" fillId="3" borderId="13" xfId="37" applyNumberFormat="1" applyFont="1" applyFill="1" applyBorder="1" applyAlignment="1">
      <alignment vertical="center"/>
    </xf>
    <xf numFmtId="166" fontId="32" fillId="3" borderId="0" xfId="41" applyNumberFormat="1" applyFont="1" applyFill="1" applyAlignment="1">
      <alignment vertical="center"/>
    </xf>
    <xf numFmtId="39" fontId="30" fillId="3" borderId="13" xfId="37" applyFont="1" applyFill="1" applyBorder="1"/>
    <xf numFmtId="10" fontId="22" fillId="3" borderId="1" xfId="51" applyNumberFormat="1" applyFont="1" applyFill="1" applyBorder="1" applyAlignment="1">
      <alignment horizontal="center" vertical="center"/>
    </xf>
    <xf numFmtId="39" fontId="29" fillId="3" borderId="0" xfId="41" applyFont="1" applyFill="1" applyAlignment="1">
      <alignment vertical="center"/>
    </xf>
    <xf numFmtId="10" fontId="12" fillId="3" borderId="1" xfId="51" applyNumberFormat="1" applyFont="1" applyFill="1" applyBorder="1" applyAlignment="1">
      <alignment horizontal="center" vertical="center"/>
    </xf>
    <xf numFmtId="39" fontId="30" fillId="3" borderId="0" xfId="37" applyFont="1" applyFill="1" applyBorder="1"/>
    <xf numFmtId="39" fontId="12" fillId="3" borderId="17" xfId="37" applyFont="1" applyFill="1" applyBorder="1" applyAlignment="1">
      <alignment horizontal="left"/>
    </xf>
    <xf numFmtId="39" fontId="12" fillId="3" borderId="11" xfId="37" applyFont="1" applyFill="1" applyBorder="1" applyAlignment="1">
      <alignment horizontal="left"/>
    </xf>
    <xf numFmtId="39" fontId="22" fillId="3" borderId="11" xfId="37" applyFont="1" applyFill="1" applyBorder="1" applyAlignment="1">
      <alignment horizontal="left"/>
    </xf>
    <xf numFmtId="39" fontId="31" fillId="3" borderId="12" xfId="37" applyFont="1" applyFill="1" applyBorder="1" applyAlignment="1">
      <alignment horizontal="left"/>
    </xf>
    <xf numFmtId="39" fontId="12" fillId="3" borderId="15" xfId="37" applyFont="1" applyFill="1" applyBorder="1" applyAlignment="1">
      <alignment horizontal="left"/>
    </xf>
    <xf numFmtId="39" fontId="12" fillId="3" borderId="0" xfId="37" applyFont="1" applyFill="1" applyBorder="1" applyAlignment="1">
      <alignment horizontal="left"/>
    </xf>
    <xf numFmtId="39" fontId="31" fillId="3" borderId="0" xfId="37" applyFont="1" applyFill="1" applyBorder="1" applyAlignment="1">
      <alignment horizontal="left"/>
    </xf>
    <xf numFmtId="39" fontId="31" fillId="3" borderId="13" xfId="37" applyFont="1" applyFill="1" applyBorder="1" applyAlignment="1">
      <alignment horizontal="left"/>
    </xf>
    <xf numFmtId="10" fontId="0" fillId="3" borderId="0" xfId="0" applyNumberFormat="1" applyFill="1"/>
    <xf numFmtId="174" fontId="29" fillId="3" borderId="0" xfId="3" applyNumberFormat="1" applyFont="1" applyFill="1"/>
    <xf numFmtId="39" fontId="12" fillId="3" borderId="16" xfId="37" applyFont="1" applyFill="1" applyBorder="1" applyAlignment="1">
      <alignment horizontal="left"/>
    </xf>
    <xf numFmtId="39" fontId="12" fillId="3" borderId="5" xfId="37" applyFont="1" applyFill="1" applyBorder="1" applyAlignment="1">
      <alignment horizontal="left"/>
    </xf>
    <xf numFmtId="39" fontId="31" fillId="3" borderId="5" xfId="37" applyFont="1" applyFill="1" applyBorder="1" applyAlignment="1">
      <alignment horizontal="left"/>
    </xf>
    <xf numFmtId="39" fontId="31" fillId="3" borderId="14" xfId="37" applyFont="1" applyFill="1" applyBorder="1" applyAlignment="1">
      <alignment horizontal="left"/>
    </xf>
    <xf numFmtId="39" fontId="15" fillId="3" borderId="0" xfId="37" applyFont="1" applyFill="1" applyBorder="1" applyAlignment="1">
      <alignment horizontal="left"/>
    </xf>
    <xf numFmtId="39" fontId="15" fillId="3" borderId="0" xfId="37" applyFont="1" applyFill="1" applyBorder="1" applyAlignment="1">
      <alignment horizontal="right"/>
    </xf>
    <xf numFmtId="10" fontId="36" fillId="3" borderId="0" xfId="37" applyNumberFormat="1" applyFont="1" applyFill="1" applyBorder="1" applyAlignment="1">
      <alignment horizontal="center" vertical="center"/>
    </xf>
    <xf numFmtId="39" fontId="13" fillId="3" borderId="5" xfId="81" applyFont="1" applyFill="1" applyBorder="1" applyAlignment="1">
      <alignment vertical="center"/>
    </xf>
    <xf numFmtId="44" fontId="46" fillId="7" borderId="2" xfId="2" applyFont="1" applyFill="1" applyBorder="1" applyAlignment="1">
      <alignment horizontal="center" vertical="center"/>
    </xf>
    <xf numFmtId="0" fontId="16" fillId="3" borderId="0" xfId="0" applyFont="1" applyFill="1" applyAlignment="1"/>
    <xf numFmtId="0" fontId="8" fillId="3" borderId="0" xfId="0" applyFont="1" applyFill="1" applyAlignment="1">
      <alignment vertical="center"/>
    </xf>
    <xf numFmtId="43" fontId="40" fillId="0" borderId="0" xfId="1" applyFont="1" applyAlignment="1">
      <alignment horizontal="center" vertical="center"/>
    </xf>
    <xf numFmtId="49" fontId="13" fillId="3" borderId="12" xfId="21" applyNumberFormat="1" applyFont="1" applyFill="1" applyBorder="1" applyAlignment="1">
      <alignment horizontal="left" vertical="center"/>
    </xf>
    <xf numFmtId="43" fontId="23" fillId="3" borderId="5" xfId="1" applyFont="1" applyFill="1" applyBorder="1" applyAlignment="1">
      <alignment vertical="center"/>
    </xf>
    <xf numFmtId="43" fontId="16" fillId="3" borderId="0" xfId="1" applyFont="1" applyFill="1"/>
    <xf numFmtId="0" fontId="41" fillId="3" borderId="1" xfId="0" applyFont="1" applyFill="1" applyBorder="1" applyAlignment="1">
      <alignment horizontal="left" vertical="center" wrapText="1"/>
    </xf>
    <xf numFmtId="39" fontId="23" fillId="3" borderId="11" xfId="81" applyFont="1" applyFill="1" applyBorder="1" applyAlignment="1">
      <alignment horizontal="center" vertical="center"/>
    </xf>
    <xf numFmtId="43" fontId="13" fillId="3" borderId="5" xfId="1" applyFont="1" applyFill="1" applyBorder="1" applyAlignment="1">
      <alignment horizontal="right" vertical="center"/>
    </xf>
    <xf numFmtId="43" fontId="23" fillId="3" borderId="0" xfId="1" applyFont="1" applyFill="1" applyBorder="1" applyAlignment="1">
      <alignment vertical="center"/>
    </xf>
    <xf numFmtId="43" fontId="40" fillId="0" borderId="0" xfId="1" applyFont="1" applyAlignment="1">
      <alignment horizontal="left" vertical="center" wrapText="1"/>
    </xf>
    <xf numFmtId="43" fontId="41" fillId="3" borderId="1" xfId="1" applyFont="1" applyFill="1" applyBorder="1" applyAlignment="1">
      <alignment horizontal="left" vertical="center" wrapText="1"/>
    </xf>
    <xf numFmtId="43" fontId="41" fillId="0" borderId="0" xfId="1" applyFont="1" applyFill="1" applyBorder="1" applyAlignment="1">
      <alignment horizontal="center" vertical="center"/>
    </xf>
    <xf numFmtId="43" fontId="13" fillId="3" borderId="11" xfId="1" applyFont="1" applyFill="1" applyBorder="1" applyAlignment="1">
      <alignment horizontal="right" vertical="center"/>
    </xf>
    <xf numFmtId="43" fontId="13" fillId="3" borderId="0" xfId="1" applyFont="1" applyFill="1" applyBorder="1" applyAlignment="1">
      <alignment horizontal="right" vertical="center"/>
    </xf>
    <xf numFmtId="43" fontId="23" fillId="3" borderId="11" xfId="1" applyFont="1" applyFill="1" applyBorder="1" applyAlignment="1">
      <alignment vertical="center"/>
    </xf>
    <xf numFmtId="43" fontId="41" fillId="3" borderId="1" xfId="1" applyFont="1" applyFill="1" applyBorder="1" applyAlignment="1">
      <alignment horizontal="center" vertical="center"/>
    </xf>
    <xf numFmtId="44" fontId="41" fillId="3" borderId="1" xfId="2" applyFont="1" applyFill="1" applyBorder="1" applyAlignment="1">
      <alignment horizontal="left" vertical="center" wrapText="1"/>
    </xf>
    <xf numFmtId="0" fontId="40" fillId="0" borderId="0" xfId="0" applyFont="1" applyAlignment="1">
      <alignment horizontal="center" vertical="center" wrapText="1"/>
    </xf>
    <xf numFmtId="43" fontId="46" fillId="7" borderId="2" xfId="1" applyFont="1" applyFill="1" applyBorder="1" applyAlignment="1">
      <alignment horizontal="center" vertical="center"/>
    </xf>
    <xf numFmtId="10" fontId="33" fillId="3" borderId="0" xfId="21" applyNumberFormat="1" applyFont="1" applyFill="1" applyBorder="1" applyAlignment="1">
      <alignment horizontal="left" vertical="center"/>
    </xf>
    <xf numFmtId="0" fontId="41" fillId="3" borderId="1" xfId="0" applyFont="1" applyFill="1" applyBorder="1" applyAlignment="1">
      <alignment horizontal="center" vertical="center" wrapText="1"/>
    </xf>
    <xf numFmtId="43" fontId="13" fillId="4" borderId="7" xfId="1" applyFont="1" applyFill="1" applyBorder="1" applyAlignment="1">
      <alignment horizontal="center" vertical="center" wrapText="1"/>
    </xf>
    <xf numFmtId="39" fontId="10" fillId="3" borderId="0" xfId="40" applyFont="1" applyFill="1" applyBorder="1" applyAlignment="1" applyProtection="1">
      <alignment horizontal="left"/>
      <protection hidden="1"/>
    </xf>
    <xf numFmtId="39" fontId="23" fillId="3" borderId="5" xfId="81" applyFont="1" applyFill="1" applyBorder="1" applyAlignment="1">
      <alignment horizontal="center" vertical="center"/>
    </xf>
    <xf numFmtId="39" fontId="10" fillId="3" borderId="0" xfId="40" applyFont="1" applyFill="1" applyBorder="1" applyProtection="1">
      <protection hidden="1"/>
    </xf>
    <xf numFmtId="39" fontId="23" fillId="3" borderId="0" xfId="81" applyFont="1" applyFill="1" applyBorder="1" applyAlignment="1">
      <alignment horizontal="center" vertical="center"/>
    </xf>
    <xf numFmtId="176" fontId="30" fillId="3" borderId="13" xfId="37" applyNumberFormat="1" applyFont="1" applyFill="1" applyBorder="1" applyAlignment="1">
      <alignment vertical="center"/>
    </xf>
    <xf numFmtId="10" fontId="30" fillId="3" borderId="13" xfId="3" applyNumberFormat="1" applyFont="1" applyFill="1" applyBorder="1" applyAlignment="1">
      <alignment vertical="center"/>
    </xf>
    <xf numFmtId="10" fontId="31" fillId="3" borderId="13" xfId="3" applyNumberFormat="1" applyFont="1" applyFill="1" applyBorder="1" applyAlignment="1">
      <alignment vertical="center"/>
    </xf>
    <xf numFmtId="0" fontId="0" fillId="0" borderId="5" xfId="0" applyBorder="1"/>
    <xf numFmtId="0" fontId="0" fillId="0" borderId="4" xfId="0" applyBorder="1"/>
    <xf numFmtId="43" fontId="67" fillId="0" borderId="0" xfId="1" applyFont="1" applyFill="1" applyBorder="1" applyAlignment="1">
      <alignment horizontal="left"/>
    </xf>
    <xf numFmtId="43" fontId="67" fillId="0" borderId="0" xfId="1" applyFont="1" applyFill="1" applyBorder="1" applyAlignment="1"/>
    <xf numFmtId="43" fontId="67" fillId="0" borderId="5" xfId="1" applyFont="1" applyFill="1" applyBorder="1" applyAlignment="1"/>
    <xf numFmtId="0" fontId="17" fillId="42" borderId="0" xfId="0" applyFont="1" applyFill="1" applyBorder="1"/>
    <xf numFmtId="49" fontId="68" fillId="42" borderId="3" xfId="0" applyNumberFormat="1" applyFont="1" applyFill="1" applyBorder="1" applyAlignment="1">
      <alignment vertical="center"/>
    </xf>
    <xf numFmtId="0" fontId="68" fillId="42" borderId="4" xfId="0" applyFont="1" applyFill="1" applyBorder="1" applyAlignment="1">
      <alignment vertical="center"/>
    </xf>
    <xf numFmtId="0" fontId="68" fillId="0" borderId="4" xfId="0" applyFont="1" applyBorder="1"/>
    <xf numFmtId="0" fontId="17" fillId="42" borderId="0" xfId="0" applyFont="1" applyFill="1" applyBorder="1" applyAlignment="1">
      <alignment wrapText="1"/>
    </xf>
    <xf numFmtId="0" fontId="68" fillId="0" borderId="4" xfId="0" applyFont="1" applyBorder="1" applyAlignment="1">
      <alignment horizontal="center" wrapText="1"/>
    </xf>
    <xf numFmtId="49" fontId="68" fillId="42" borderId="17" xfId="0" applyNumberFormat="1" applyFont="1" applyFill="1" applyBorder="1" applyAlignment="1">
      <alignment horizontal="left" vertical="center"/>
    </xf>
    <xf numFmtId="49" fontId="68" fillId="42" borderId="12" xfId="0" applyNumberFormat="1" applyFont="1" applyFill="1" applyBorder="1" applyAlignment="1">
      <alignment horizontal="left" vertical="center"/>
    </xf>
    <xf numFmtId="0" fontId="68" fillId="42" borderId="4" xfId="0" applyFont="1" applyFill="1" applyBorder="1" applyAlignment="1">
      <alignment horizontal="center" vertical="center"/>
    </xf>
    <xf numFmtId="0" fontId="68" fillId="42" borderId="2" xfId="0" applyFont="1" applyFill="1" applyBorder="1" applyAlignment="1">
      <alignment horizontal="center" vertical="center"/>
    </xf>
    <xf numFmtId="49" fontId="68" fillId="42" borderId="17" xfId="0" applyNumberFormat="1" applyFont="1" applyFill="1" applyBorder="1" applyAlignment="1">
      <alignment vertical="top"/>
    </xf>
    <xf numFmtId="0" fontId="68" fillId="42" borderId="11" xfId="0" applyFont="1" applyFill="1" applyBorder="1" applyAlignment="1">
      <alignment horizontal="left" vertical="center"/>
    </xf>
    <xf numFmtId="0" fontId="68" fillId="42" borderId="11" xfId="0" applyFont="1" applyFill="1" applyBorder="1" applyAlignment="1">
      <alignment vertical="center" wrapText="1"/>
    </xf>
    <xf numFmtId="0" fontId="68" fillId="42" borderId="4" xfId="0" applyFont="1" applyFill="1" applyBorder="1" applyAlignment="1">
      <alignment horizontal="left" vertical="center" wrapText="1"/>
    </xf>
    <xf numFmtId="49" fontId="67" fillId="42" borderId="2" xfId="0" applyNumberFormat="1" applyFont="1" applyFill="1" applyBorder="1" applyAlignment="1">
      <alignment horizontal="left" vertical="center" wrapText="1"/>
    </xf>
    <xf numFmtId="0" fontId="68" fillId="42" borderId="3" xfId="0" applyFont="1" applyFill="1" applyBorder="1" applyAlignment="1">
      <alignment horizontal="left" vertical="center" wrapText="1"/>
    </xf>
    <xf numFmtId="0" fontId="17" fillId="42" borderId="7" xfId="0" applyFont="1" applyFill="1" applyBorder="1" applyAlignment="1">
      <alignment horizontal="center" vertical="center" wrapText="1"/>
    </xf>
    <xf numFmtId="49" fontId="9" fillId="42" borderId="17" xfId="0" applyNumberFormat="1" applyFont="1" applyFill="1" applyBorder="1" applyAlignment="1">
      <alignment horizontal="left" vertical="top" wrapText="1"/>
    </xf>
    <xf numFmtId="0" fontId="9" fillId="42" borderId="11" xfId="0" applyFont="1" applyFill="1" applyBorder="1" applyAlignment="1">
      <alignment horizontal="left" vertical="top" wrapText="1"/>
    </xf>
    <xf numFmtId="0" fontId="9" fillId="42" borderId="12" xfId="0" applyFont="1" applyFill="1" applyBorder="1" applyAlignment="1">
      <alignment horizontal="left" vertical="top" wrapText="1"/>
    </xf>
    <xf numFmtId="177" fontId="9" fillId="42" borderId="18" xfId="1" applyNumberFormat="1" applyFont="1" applyFill="1" applyBorder="1" applyAlignment="1">
      <alignment horizontal="right" vertical="top" wrapText="1"/>
    </xf>
    <xf numFmtId="178" fontId="9" fillId="42" borderId="18" xfId="1" applyNumberFormat="1" applyFont="1" applyFill="1" applyBorder="1" applyAlignment="1">
      <alignment horizontal="right" vertical="top" wrapText="1"/>
    </xf>
    <xf numFmtId="179" fontId="9" fillId="42" borderId="17" xfId="1" applyNumberFormat="1" applyFont="1" applyFill="1" applyBorder="1" applyAlignment="1">
      <alignment horizontal="right" vertical="top" wrapText="1"/>
    </xf>
    <xf numFmtId="180" fontId="9" fillId="42" borderId="18" xfId="1" applyNumberFormat="1" applyFont="1" applyFill="1" applyBorder="1" applyAlignment="1">
      <alignment horizontal="right" vertical="top" wrapText="1"/>
    </xf>
    <xf numFmtId="181" fontId="9" fillId="42" borderId="12" xfId="1" applyNumberFormat="1" applyFont="1" applyFill="1" applyBorder="1" applyAlignment="1">
      <alignment horizontal="right" vertical="top" wrapText="1"/>
    </xf>
    <xf numFmtId="0" fontId="17" fillId="42" borderId="0" xfId="0" applyFont="1" applyFill="1" applyBorder="1" applyAlignment="1">
      <alignment horizontal="left" vertical="top" wrapText="1"/>
    </xf>
    <xf numFmtId="49" fontId="9" fillId="42" borderId="15" xfId="0" applyNumberFormat="1" applyFont="1" applyFill="1" applyBorder="1" applyAlignment="1">
      <alignment horizontal="left" vertical="top" wrapText="1"/>
    </xf>
    <xf numFmtId="0" fontId="9" fillId="42" borderId="0" xfId="0" applyFont="1" applyFill="1" applyBorder="1" applyAlignment="1">
      <alignment horizontal="left" vertical="top" wrapText="1"/>
    </xf>
    <xf numFmtId="0" fontId="9" fillId="42" borderId="13" xfId="0" applyFont="1" applyFill="1" applyBorder="1" applyAlignment="1">
      <alignment horizontal="left" vertical="top" wrapText="1"/>
    </xf>
    <xf numFmtId="177" fontId="9" fillId="42" borderId="7" xfId="1" applyNumberFormat="1" applyFont="1" applyFill="1" applyBorder="1" applyAlignment="1">
      <alignment horizontal="right" vertical="top" wrapText="1"/>
    </xf>
    <xf numFmtId="43" fontId="9" fillId="42" borderId="7" xfId="1" applyFont="1" applyFill="1" applyBorder="1" applyAlignment="1">
      <alignment horizontal="right" vertical="top" wrapText="1"/>
    </xf>
    <xf numFmtId="43" fontId="9" fillId="42" borderId="15" xfId="1" applyFont="1" applyFill="1" applyBorder="1" applyAlignment="1">
      <alignment horizontal="right" vertical="top" wrapText="1"/>
    </xf>
    <xf numFmtId="182" fontId="9" fillId="42" borderId="7" xfId="1" applyNumberFormat="1" applyFont="1" applyFill="1" applyBorder="1" applyAlignment="1">
      <alignment horizontal="right" vertical="top" wrapText="1"/>
    </xf>
    <xf numFmtId="182" fontId="9" fillId="42" borderId="13" xfId="1" applyNumberFormat="1" applyFont="1" applyFill="1" applyBorder="1" applyAlignment="1">
      <alignment horizontal="right" vertical="top" wrapText="1"/>
    </xf>
    <xf numFmtId="49" fontId="9" fillId="42" borderId="16" xfId="0" applyNumberFormat="1" applyFont="1" applyFill="1" applyBorder="1" applyAlignment="1">
      <alignment horizontal="left" vertical="top" wrapText="1"/>
    </xf>
    <xf numFmtId="0" fontId="9" fillId="42" borderId="5" xfId="0" applyFont="1" applyFill="1" applyBorder="1" applyAlignment="1">
      <alignment horizontal="left" vertical="top" wrapText="1"/>
    </xf>
    <xf numFmtId="0" fontId="9" fillId="42" borderId="14" xfId="0" applyFont="1" applyFill="1" applyBorder="1" applyAlignment="1">
      <alignment horizontal="left" vertical="top" wrapText="1"/>
    </xf>
    <xf numFmtId="177" fontId="9" fillId="42" borderId="6" xfId="1" applyNumberFormat="1" applyFont="1" applyFill="1" applyBorder="1" applyAlignment="1">
      <alignment horizontal="right" vertical="top" wrapText="1"/>
    </xf>
    <xf numFmtId="43" fontId="9" fillId="42" borderId="6" xfId="1" applyFont="1" applyFill="1" applyBorder="1" applyAlignment="1">
      <alignment horizontal="right" vertical="top" wrapText="1"/>
    </xf>
    <xf numFmtId="43" fontId="9" fillId="42" borderId="16" xfId="1" applyFont="1" applyFill="1" applyBorder="1" applyAlignment="1">
      <alignment horizontal="right" vertical="top" wrapText="1"/>
    </xf>
    <xf numFmtId="182" fontId="9" fillId="42" borderId="6" xfId="1" applyNumberFormat="1" applyFont="1" applyFill="1" applyBorder="1" applyAlignment="1">
      <alignment horizontal="right" vertical="top" wrapText="1"/>
    </xf>
    <xf numFmtId="182" fontId="9" fillId="42" borderId="14" xfId="1" applyNumberFormat="1" applyFont="1" applyFill="1" applyBorder="1" applyAlignment="1">
      <alignment horizontal="right" vertical="top" wrapText="1"/>
    </xf>
    <xf numFmtId="181" fontId="17" fillId="42" borderId="7" xfId="1" applyNumberFormat="1" applyFont="1" applyFill="1" applyBorder="1" applyAlignment="1">
      <alignment horizontal="right" wrapText="1"/>
    </xf>
    <xf numFmtId="0" fontId="17" fillId="42" borderId="11" xfId="0" applyFont="1" applyFill="1" applyBorder="1"/>
    <xf numFmtId="0" fontId="17" fillId="42" borderId="5" xfId="0" applyFont="1" applyFill="1" applyBorder="1"/>
    <xf numFmtId="49" fontId="9" fillId="42" borderId="17" xfId="0" applyNumberFormat="1" applyFont="1" applyFill="1" applyBorder="1" applyAlignment="1">
      <alignment horizontal="left" vertical="top"/>
    </xf>
    <xf numFmtId="183" fontId="9" fillId="42" borderId="7" xfId="1" applyNumberFormat="1" applyFont="1" applyFill="1" applyBorder="1" applyAlignment="1">
      <alignment horizontal="right" vertical="top" wrapText="1"/>
    </xf>
    <xf numFmtId="180" fontId="9" fillId="42" borderId="7" xfId="1" applyNumberFormat="1" applyFont="1" applyFill="1" applyBorder="1" applyAlignment="1">
      <alignment horizontal="right" vertical="top" wrapText="1"/>
    </xf>
    <xf numFmtId="181" fontId="9" fillId="42" borderId="7" xfId="1" applyNumberFormat="1" applyFont="1" applyFill="1" applyBorder="1" applyAlignment="1">
      <alignment horizontal="right" vertical="top" wrapText="1"/>
    </xf>
    <xf numFmtId="49" fontId="9" fillId="42" borderId="15" xfId="0" applyNumberFormat="1" applyFont="1" applyFill="1" applyBorder="1" applyAlignment="1">
      <alignment horizontal="left" vertical="top"/>
    </xf>
    <xf numFmtId="49" fontId="9" fillId="42" borderId="16" xfId="0" applyNumberFormat="1" applyFont="1" applyFill="1" applyBorder="1" applyAlignment="1">
      <alignment horizontal="left" vertical="top"/>
    </xf>
    <xf numFmtId="183" fontId="9" fillId="42" borderId="6" xfId="1" applyNumberFormat="1" applyFont="1" applyFill="1" applyBorder="1" applyAlignment="1">
      <alignment horizontal="right" vertical="top" wrapText="1"/>
    </xf>
    <xf numFmtId="49" fontId="17" fillId="42" borderId="17" xfId="0" applyNumberFormat="1" applyFont="1" applyFill="1" applyBorder="1" applyAlignment="1"/>
    <xf numFmtId="0" fontId="17" fillId="42" borderId="0" xfId="0" applyFont="1" applyFill="1" applyBorder="1" applyAlignment="1"/>
    <xf numFmtId="181" fontId="17" fillId="42" borderId="1" xfId="1" applyNumberFormat="1" applyFont="1" applyFill="1" applyBorder="1" applyAlignment="1">
      <alignment horizontal="right" wrapText="1"/>
    </xf>
    <xf numFmtId="0" fontId="17" fillId="42" borderId="11" xfId="0" applyFont="1" applyFill="1" applyBorder="1" applyAlignment="1"/>
    <xf numFmtId="184" fontId="9" fillId="42" borderId="12" xfId="1" applyNumberFormat="1" applyFont="1" applyFill="1" applyBorder="1" applyAlignment="1"/>
    <xf numFmtId="49" fontId="17" fillId="42" borderId="3" xfId="0" applyNumberFormat="1" applyFont="1" applyFill="1" applyBorder="1" applyAlignment="1"/>
    <xf numFmtId="0" fontId="17" fillId="42" borderId="12" xfId="0" applyFont="1" applyFill="1" applyBorder="1" applyAlignment="1">
      <alignment wrapText="1"/>
    </xf>
    <xf numFmtId="0" fontId="17" fillId="42" borderId="11" xfId="0" applyFont="1" applyFill="1" applyBorder="1" applyAlignment="1">
      <alignment wrapText="1"/>
    </xf>
    <xf numFmtId="185" fontId="17" fillId="42" borderId="2" xfId="0" applyNumberFormat="1" applyFont="1" applyFill="1" applyBorder="1" applyAlignment="1">
      <alignment horizontal="right"/>
    </xf>
    <xf numFmtId="182" fontId="9" fillId="42" borderId="17" xfId="1" applyNumberFormat="1" applyFont="1" applyFill="1" applyBorder="1" applyAlignment="1">
      <alignment horizontal="right" vertical="top" wrapText="1"/>
    </xf>
    <xf numFmtId="182" fontId="9" fillId="42" borderId="18" xfId="1" applyNumberFormat="1" applyFont="1" applyFill="1" applyBorder="1" applyAlignment="1">
      <alignment horizontal="right" vertical="top" wrapText="1"/>
    </xf>
    <xf numFmtId="182" fontId="9" fillId="42" borderId="15" xfId="1" applyNumberFormat="1" applyFont="1" applyFill="1" applyBorder="1" applyAlignment="1">
      <alignment horizontal="right" vertical="top" wrapText="1"/>
    </xf>
    <xf numFmtId="182" fontId="17" fillId="42" borderId="1" xfId="1" applyNumberFormat="1" applyFont="1" applyFill="1" applyBorder="1" applyAlignment="1">
      <alignment horizontal="right" wrapText="1"/>
    </xf>
    <xf numFmtId="182" fontId="9" fillId="42" borderId="16" xfId="1" applyNumberFormat="1" applyFont="1" applyFill="1" applyBorder="1" applyAlignment="1">
      <alignment horizontal="right" vertical="top" wrapText="1"/>
    </xf>
    <xf numFmtId="0" fontId="67" fillId="42" borderId="18" xfId="0" applyFont="1" applyFill="1" applyBorder="1" applyAlignment="1">
      <alignment horizontal="center" vertical="center"/>
    </xf>
    <xf numFmtId="0" fontId="67" fillId="42" borderId="7" xfId="0" applyFont="1" applyFill="1" applyBorder="1" applyAlignment="1">
      <alignment horizontal="center" wrapText="1"/>
    </xf>
    <xf numFmtId="0" fontId="67" fillId="42" borderId="1" xfId="0" applyFont="1" applyFill="1" applyBorder="1" applyAlignment="1">
      <alignment horizontal="center" vertical="center" wrapText="1"/>
    </xf>
    <xf numFmtId="0" fontId="67" fillId="42" borderId="13" xfId="0" applyFont="1" applyFill="1" applyBorder="1" applyAlignment="1">
      <alignment horizontal="center" vertical="center" wrapText="1"/>
    </xf>
    <xf numFmtId="183" fontId="9" fillId="42" borderId="15" xfId="0" applyNumberFormat="1" applyFont="1" applyFill="1" applyBorder="1" applyAlignment="1">
      <alignment horizontal="right" vertical="top"/>
    </xf>
    <xf numFmtId="180" fontId="9" fillId="42" borderId="18" xfId="0" applyNumberFormat="1" applyFont="1" applyFill="1" applyBorder="1" applyAlignment="1">
      <alignment horizontal="left" vertical="top"/>
    </xf>
    <xf numFmtId="182" fontId="9" fillId="42" borderId="11" xfId="1" applyNumberFormat="1" applyFont="1" applyFill="1" applyBorder="1" applyAlignment="1">
      <alignment horizontal="right" vertical="top"/>
    </xf>
    <xf numFmtId="182" fontId="9" fillId="42" borderId="17" xfId="1" applyNumberFormat="1" applyFont="1" applyFill="1" applyBorder="1" applyAlignment="1">
      <alignment horizontal="right" vertical="top"/>
    </xf>
    <xf numFmtId="182" fontId="9" fillId="42" borderId="18" xfId="1" applyNumberFormat="1" applyFont="1" applyFill="1" applyBorder="1" applyAlignment="1">
      <alignment horizontal="right" vertical="top"/>
    </xf>
    <xf numFmtId="183" fontId="9" fillId="42" borderId="7" xfId="0" applyNumberFormat="1" applyFont="1" applyFill="1" applyBorder="1" applyAlignment="1">
      <alignment horizontal="right" vertical="top" wrapText="1"/>
    </xf>
    <xf numFmtId="0" fontId="9" fillId="42" borderId="7" xfId="0" applyFont="1" applyFill="1" applyBorder="1" applyAlignment="1">
      <alignment horizontal="left" vertical="top"/>
    </xf>
    <xf numFmtId="182" fontId="9" fillId="42" borderId="0" xfId="1" applyNumberFormat="1" applyFont="1" applyFill="1" applyBorder="1" applyAlignment="1">
      <alignment horizontal="right" vertical="top"/>
    </xf>
    <xf numFmtId="182" fontId="9" fillId="42" borderId="15" xfId="1" applyNumberFormat="1" applyFont="1" applyFill="1" applyBorder="1" applyAlignment="1">
      <alignment horizontal="right" vertical="top"/>
    </xf>
    <xf numFmtId="182" fontId="9" fillId="42" borderId="7" xfId="1" applyNumberFormat="1" applyFont="1" applyFill="1" applyBorder="1" applyAlignment="1">
      <alignment horizontal="right" vertical="top"/>
    </xf>
    <xf numFmtId="183" fontId="9" fillId="42" borderId="16" xfId="0" applyNumberFormat="1" applyFont="1" applyFill="1" applyBorder="1" applyAlignment="1">
      <alignment horizontal="right" vertical="top"/>
    </xf>
    <xf numFmtId="0" fontId="9" fillId="42" borderId="6" xfId="0" applyFont="1" applyFill="1" applyBorder="1" applyAlignment="1">
      <alignment horizontal="left" vertical="top"/>
    </xf>
    <xf numFmtId="182" fontId="9" fillId="42" borderId="5" xfId="1" applyNumberFormat="1" applyFont="1" applyFill="1" applyBorder="1" applyAlignment="1">
      <alignment horizontal="right" vertical="top"/>
    </xf>
    <xf numFmtId="182" fontId="9" fillId="42" borderId="16" xfId="1" applyNumberFormat="1" applyFont="1" applyFill="1" applyBorder="1" applyAlignment="1">
      <alignment horizontal="right" vertical="top"/>
    </xf>
    <xf numFmtId="182" fontId="9" fillId="42" borderId="6" xfId="1" applyNumberFormat="1" applyFont="1" applyFill="1" applyBorder="1" applyAlignment="1">
      <alignment horizontal="right" vertical="top"/>
    </xf>
    <xf numFmtId="180" fontId="17" fillId="42" borderId="1" xfId="1" applyNumberFormat="1" applyFont="1" applyFill="1" applyBorder="1" applyAlignment="1">
      <alignment horizontal="right" wrapText="1"/>
    </xf>
    <xf numFmtId="180" fontId="9" fillId="42" borderId="17" xfId="1" applyNumberFormat="1" applyFont="1" applyFill="1" applyBorder="1" applyAlignment="1">
      <alignment horizontal="right" vertical="top" wrapText="1"/>
    </xf>
    <xf numFmtId="181" fontId="9" fillId="42" borderId="18" xfId="1" applyNumberFormat="1" applyFont="1" applyFill="1" applyBorder="1" applyAlignment="1">
      <alignment horizontal="right" vertical="top" wrapText="1"/>
    </xf>
    <xf numFmtId="180" fontId="9" fillId="42" borderId="15" xfId="1" applyNumberFormat="1" applyFont="1" applyFill="1" applyBorder="1" applyAlignment="1">
      <alignment horizontal="right" vertical="top" wrapText="1"/>
    </xf>
    <xf numFmtId="179" fontId="9" fillId="42" borderId="15" xfId="0" applyNumberFormat="1" applyFont="1" applyFill="1" applyBorder="1" applyAlignment="1">
      <alignment horizontal="right" vertical="top"/>
    </xf>
    <xf numFmtId="180" fontId="9" fillId="42" borderId="11" xfId="1" applyNumberFormat="1" applyFont="1" applyFill="1" applyBorder="1" applyAlignment="1">
      <alignment horizontal="right" vertical="top"/>
    </xf>
    <xf numFmtId="180" fontId="9" fillId="42" borderId="17" xfId="1" applyNumberFormat="1" applyFont="1" applyFill="1" applyBorder="1" applyAlignment="1">
      <alignment horizontal="right" vertical="top"/>
    </xf>
    <xf numFmtId="180" fontId="9" fillId="42" borderId="18" xfId="1" applyNumberFormat="1" applyFont="1" applyFill="1" applyBorder="1" applyAlignment="1">
      <alignment horizontal="right" vertical="top"/>
    </xf>
    <xf numFmtId="179" fontId="9" fillId="42" borderId="13" xfId="0" applyNumberFormat="1" applyFont="1" applyFill="1" applyBorder="1" applyAlignment="1">
      <alignment horizontal="right" vertical="top" wrapText="1"/>
    </xf>
    <xf numFmtId="179" fontId="9" fillId="42" borderId="7" xfId="0" applyNumberFormat="1" applyFont="1" applyFill="1" applyBorder="1" applyAlignment="1">
      <alignment horizontal="right" vertical="top" wrapText="1"/>
    </xf>
    <xf numFmtId="180" fontId="9" fillId="42" borderId="0" xfId="1" applyNumberFormat="1" applyFont="1" applyFill="1" applyBorder="1" applyAlignment="1">
      <alignment horizontal="right" vertical="top"/>
    </xf>
    <xf numFmtId="180" fontId="9" fillId="42" borderId="15" xfId="1" applyNumberFormat="1" applyFont="1" applyFill="1" applyBorder="1" applyAlignment="1">
      <alignment horizontal="right" vertical="top"/>
    </xf>
    <xf numFmtId="180" fontId="9" fillId="42" borderId="7" xfId="1" applyNumberFormat="1" applyFont="1" applyFill="1" applyBorder="1" applyAlignment="1">
      <alignment horizontal="right" vertical="top"/>
    </xf>
    <xf numFmtId="178" fontId="9" fillId="42" borderId="7" xfId="1" applyNumberFormat="1" applyFont="1" applyFill="1" applyBorder="1" applyAlignment="1">
      <alignment horizontal="right" vertical="top" wrapText="1"/>
    </xf>
    <xf numFmtId="179" fontId="9" fillId="42" borderId="15" xfId="1" applyNumberFormat="1" applyFont="1" applyFill="1" applyBorder="1" applyAlignment="1">
      <alignment horizontal="right" vertical="top" wrapText="1"/>
    </xf>
    <xf numFmtId="181" fontId="9" fillId="42" borderId="13" xfId="1" applyNumberFormat="1" applyFont="1" applyFill="1" applyBorder="1" applyAlignment="1">
      <alignment horizontal="right" vertical="top" wrapText="1"/>
    </xf>
    <xf numFmtId="49" fontId="17" fillId="42" borderId="0" xfId="0" applyNumberFormat="1" applyFont="1" applyFill="1" applyBorder="1" applyAlignment="1"/>
    <xf numFmtId="39" fontId="11" fillId="3" borderId="33" xfId="81" applyFont="1" applyFill="1" applyBorder="1" applyProtection="1">
      <protection hidden="1"/>
    </xf>
    <xf numFmtId="43" fontId="13" fillId="4" borderId="18" xfId="1" applyFont="1" applyFill="1" applyBorder="1" applyAlignment="1">
      <alignment horizontal="center" vertical="center" wrapText="1"/>
    </xf>
    <xf numFmtId="0" fontId="67" fillId="42" borderId="2" xfId="0" applyFont="1" applyFill="1" applyBorder="1" applyAlignment="1">
      <alignment horizontal="center" vertical="center"/>
    </xf>
    <xf numFmtId="183" fontId="9" fillId="42" borderId="13" xfId="0" applyNumberFormat="1" applyFont="1" applyFill="1" applyBorder="1" applyAlignment="1">
      <alignment horizontal="right" vertical="top" wrapText="1"/>
    </xf>
    <xf numFmtId="0" fontId="17" fillId="42" borderId="11" xfId="0" applyFont="1" applyFill="1" applyBorder="1" applyAlignment="1">
      <alignment horizontal="right"/>
    </xf>
    <xf numFmtId="0" fontId="17" fillId="42" borderId="3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/>
    </xf>
    <xf numFmtId="0" fontId="42" fillId="43" borderId="1" xfId="0" applyFont="1" applyFill="1" applyBorder="1" applyAlignment="1">
      <alignment horizontal="center" vertical="center"/>
    </xf>
    <xf numFmtId="0" fontId="41" fillId="43" borderId="1" xfId="0" applyFont="1" applyFill="1" applyBorder="1" applyAlignment="1">
      <alignment horizontal="center" vertical="center"/>
    </xf>
    <xf numFmtId="0" fontId="42" fillId="43" borderId="1" xfId="0" applyFont="1" applyFill="1" applyBorder="1" applyAlignment="1">
      <alignment vertical="center"/>
    </xf>
    <xf numFmtId="43" fontId="42" fillId="43" borderId="1" xfId="1" applyFont="1" applyFill="1" applyBorder="1" applyAlignment="1">
      <alignment horizontal="center" vertical="center"/>
    </xf>
    <xf numFmtId="44" fontId="42" fillId="43" borderId="1" xfId="0" applyNumberFormat="1" applyFont="1" applyFill="1" applyBorder="1" applyAlignment="1">
      <alignment horizontal="center" vertical="center"/>
    </xf>
    <xf numFmtId="0" fontId="13" fillId="41" borderId="3" xfId="12" applyFont="1" applyFill="1" applyBorder="1" applyAlignment="1"/>
    <xf numFmtId="0" fontId="13" fillId="41" borderId="4" xfId="12" applyFont="1" applyFill="1" applyBorder="1" applyAlignment="1"/>
    <xf numFmtId="0" fontId="13" fillId="41" borderId="2" xfId="12" applyFont="1" applyFill="1" applyBorder="1" applyAlignment="1"/>
    <xf numFmtId="0" fontId="13" fillId="40" borderId="3" xfId="12" applyFont="1" applyFill="1" applyBorder="1" applyAlignment="1">
      <alignment vertical="center"/>
    </xf>
    <xf numFmtId="0" fontId="13" fillId="40" borderId="2" xfId="12" applyFont="1" applyFill="1" applyBorder="1" applyAlignment="1">
      <alignment vertical="center"/>
    </xf>
    <xf numFmtId="0" fontId="13" fillId="40" borderId="1" xfId="12" applyFont="1" applyFill="1" applyBorder="1" applyAlignment="1">
      <alignment horizontal="center" vertical="center"/>
    </xf>
    <xf numFmtId="0" fontId="13" fillId="40" borderId="1" xfId="12" applyFont="1" applyFill="1" applyBorder="1" applyAlignment="1">
      <alignment horizontal="center" vertical="center" wrapText="1"/>
    </xf>
    <xf numFmtId="2" fontId="23" fillId="0" borderId="15" xfId="128" applyNumberFormat="1" applyFont="1" applyFill="1" applyBorder="1" applyAlignment="1" applyProtection="1">
      <alignment vertical="center"/>
    </xf>
    <xf numFmtId="2" fontId="23" fillId="0" borderId="0" xfId="128" applyNumberFormat="1" applyFont="1" applyFill="1" applyBorder="1" applyAlignment="1" applyProtection="1">
      <alignment vertical="center"/>
    </xf>
    <xf numFmtId="2" fontId="23" fillId="0" borderId="0" xfId="128" applyNumberFormat="1" applyFont="1" applyFill="1" applyBorder="1" applyAlignment="1" applyProtection="1">
      <alignment horizontal="center" vertical="center"/>
    </xf>
    <xf numFmtId="3" fontId="23" fillId="0" borderId="0" xfId="128" applyNumberFormat="1" applyFont="1" applyFill="1" applyBorder="1" applyAlignment="1" applyProtection="1">
      <alignment horizontal="center" vertical="center"/>
    </xf>
    <xf numFmtId="174" fontId="23" fillId="0" borderId="0" xfId="129" applyNumberFormat="1" applyFont="1" applyFill="1" applyBorder="1" applyAlignment="1" applyProtection="1">
      <alignment horizontal="center" vertical="center"/>
    </xf>
    <xf numFmtId="10" fontId="41" fillId="0" borderId="0" xfId="129" applyNumberFormat="1" applyFont="1" applyBorder="1" applyAlignment="1">
      <alignment horizontal="center" vertical="center"/>
    </xf>
    <xf numFmtId="10" fontId="41" fillId="0" borderId="13" xfId="129" applyNumberFormat="1" applyFont="1" applyBorder="1" applyAlignment="1">
      <alignment horizontal="center" vertical="center"/>
    </xf>
    <xf numFmtId="10" fontId="23" fillId="0" borderId="0" xfId="129" applyNumberFormat="1" applyFont="1" applyFill="1" applyBorder="1" applyAlignment="1" applyProtection="1">
      <alignment horizontal="center" vertical="center"/>
    </xf>
    <xf numFmtId="9" fontId="41" fillId="0" borderId="0" xfId="129" applyFont="1" applyBorder="1" applyAlignment="1">
      <alignment horizontal="center" vertical="center"/>
    </xf>
    <xf numFmtId="2" fontId="23" fillId="0" borderId="16" xfId="128" applyNumberFormat="1" applyFont="1" applyFill="1" applyBorder="1" applyAlignment="1" applyProtection="1">
      <alignment vertical="center"/>
    </xf>
    <xf numFmtId="2" fontId="23" fillId="0" borderId="5" xfId="128" applyNumberFormat="1" applyFont="1" applyFill="1" applyBorder="1" applyAlignment="1" applyProtection="1">
      <alignment vertical="center"/>
    </xf>
    <xf numFmtId="2" fontId="23" fillId="0" borderId="5" xfId="128" applyNumberFormat="1" applyFont="1" applyFill="1" applyBorder="1" applyAlignment="1" applyProtection="1">
      <alignment horizontal="center" vertical="center"/>
    </xf>
    <xf numFmtId="3" fontId="23" fillId="0" borderId="5" xfId="128" applyNumberFormat="1" applyFont="1" applyFill="1" applyBorder="1" applyAlignment="1" applyProtection="1">
      <alignment horizontal="center" vertical="center"/>
    </xf>
    <xf numFmtId="10" fontId="23" fillId="0" borderId="5" xfId="129" applyNumberFormat="1" applyFont="1" applyFill="1" applyBorder="1" applyAlignment="1" applyProtection="1">
      <alignment horizontal="center" vertical="center"/>
    </xf>
    <xf numFmtId="9" fontId="41" fillId="0" borderId="5" xfId="129" applyFont="1" applyBorder="1" applyAlignment="1">
      <alignment horizontal="center" vertical="center"/>
    </xf>
    <xf numFmtId="10" fontId="41" fillId="0" borderId="14" xfId="129" applyNumberFormat="1" applyFont="1" applyBorder="1" applyAlignment="1">
      <alignment horizontal="center" vertical="center"/>
    </xf>
    <xf numFmtId="0" fontId="13" fillId="0" borderId="3" xfId="12" applyFont="1" applyFill="1" applyBorder="1" applyAlignment="1">
      <alignment vertical="center"/>
    </xf>
    <xf numFmtId="0" fontId="13" fillId="0" borderId="4" xfId="12" applyFont="1" applyFill="1" applyBorder="1" applyAlignment="1">
      <alignment vertical="center"/>
    </xf>
    <xf numFmtId="0" fontId="13" fillId="0" borderId="2" xfId="12" applyFont="1" applyFill="1" applyBorder="1" applyAlignment="1">
      <alignment vertical="center"/>
    </xf>
    <xf numFmtId="2" fontId="13" fillId="0" borderId="1" xfId="12" applyNumberFormat="1" applyFont="1" applyFill="1" applyBorder="1" applyAlignment="1">
      <alignment horizontal="center" vertical="center"/>
    </xf>
    <xf numFmtId="3" fontId="13" fillId="3" borderId="1" xfId="12" applyNumberFormat="1" applyFont="1" applyFill="1" applyBorder="1" applyAlignment="1">
      <alignment horizontal="center" vertical="center"/>
    </xf>
    <xf numFmtId="0" fontId="13" fillId="3" borderId="1" xfId="12" applyFont="1" applyFill="1" applyBorder="1" applyAlignment="1">
      <alignment horizontal="center" vertical="center"/>
    </xf>
    <xf numFmtId="9" fontId="13" fillId="0" borderId="1" xfId="3" applyFont="1" applyFill="1" applyBorder="1" applyAlignment="1">
      <alignment horizontal="center" vertical="center"/>
    </xf>
    <xf numFmtId="10" fontId="13" fillId="0" borderId="1" xfId="129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13" fillId="41" borderId="3" xfId="12" applyFont="1" applyFill="1" applyBorder="1" applyAlignment="1">
      <alignment vertical="center"/>
    </xf>
    <xf numFmtId="0" fontId="13" fillId="41" borderId="4" xfId="12" applyFont="1" applyFill="1" applyBorder="1" applyAlignment="1">
      <alignment vertical="center"/>
    </xf>
    <xf numFmtId="0" fontId="13" fillId="41" borderId="2" xfId="12" applyFont="1" applyFill="1" applyBorder="1" applyAlignment="1">
      <alignment vertical="center"/>
    </xf>
    <xf numFmtId="0" fontId="13" fillId="40" borderId="4" xfId="12" applyFont="1" applyFill="1" applyBorder="1" applyAlignment="1">
      <alignment vertical="center"/>
    </xf>
    <xf numFmtId="0" fontId="13" fillId="40" borderId="18" xfId="12" applyFont="1" applyFill="1" applyBorder="1" applyAlignment="1">
      <alignment horizontal="center" vertical="center"/>
    </xf>
    <xf numFmtId="0" fontId="13" fillId="40" borderId="18" xfId="12" applyFont="1" applyFill="1" applyBorder="1" applyAlignment="1">
      <alignment horizontal="center" vertical="center" wrapText="1"/>
    </xf>
    <xf numFmtId="2" fontId="23" fillId="0" borderId="0" xfId="1" applyNumberFormat="1" applyFont="1" applyFill="1" applyBorder="1" applyAlignment="1">
      <alignment horizontal="center" vertical="center"/>
    </xf>
    <xf numFmtId="0" fontId="40" fillId="0" borderId="5" xfId="0" applyFont="1" applyBorder="1"/>
    <xf numFmtId="2" fontId="23" fillId="0" borderId="5" xfId="1" applyNumberFormat="1" applyFont="1" applyFill="1" applyBorder="1" applyAlignment="1">
      <alignment horizontal="center" vertical="center"/>
    </xf>
    <xf numFmtId="10" fontId="41" fillId="0" borderId="5" xfId="129" applyNumberFormat="1" applyFont="1" applyBorder="1" applyAlignment="1">
      <alignment horizontal="center" vertical="center"/>
    </xf>
    <xf numFmtId="2" fontId="13" fillId="0" borderId="3" xfId="12" applyNumberFormat="1" applyFont="1" applyFill="1" applyBorder="1" applyAlignment="1">
      <alignment horizontal="center" vertical="center"/>
    </xf>
    <xf numFmtId="0" fontId="23" fillId="3" borderId="6" xfId="12" applyFont="1" applyFill="1" applyBorder="1" applyAlignment="1">
      <alignment horizontal="center" vertical="center"/>
    </xf>
    <xf numFmtId="10" fontId="13" fillId="3" borderId="6" xfId="129" applyNumberFormat="1" applyFont="1" applyFill="1" applyBorder="1" applyAlignment="1">
      <alignment horizontal="center" vertical="center"/>
    </xf>
    <xf numFmtId="0" fontId="40" fillId="0" borderId="0" xfId="0" applyFont="1"/>
    <xf numFmtId="0" fontId="23" fillId="0" borderId="0" xfId="12" applyFont="1" applyBorder="1" applyAlignment="1">
      <alignment horizontal="center" vertical="center"/>
    </xf>
    <xf numFmtId="43" fontId="23" fillId="0" borderId="3" xfId="1" applyFont="1" applyFill="1" applyBorder="1" applyAlignment="1">
      <alignment vertical="center"/>
    </xf>
    <xf numFmtId="43" fontId="23" fillId="0" borderId="4" xfId="1" applyFont="1" applyFill="1" applyBorder="1" applyAlignment="1">
      <alignment vertical="center"/>
    </xf>
    <xf numFmtId="0" fontId="40" fillId="0" borderId="4" xfId="0" applyFont="1" applyBorder="1"/>
    <xf numFmtId="0" fontId="8" fillId="0" borderId="2" xfId="12" applyFont="1" applyBorder="1" applyAlignment="1">
      <alignment horizontal="center" vertical="center"/>
    </xf>
    <xf numFmtId="10" fontId="70" fillId="0" borderId="1" xfId="12" applyNumberFormat="1" applyFont="1" applyFill="1" applyBorder="1" applyAlignment="1">
      <alignment horizontal="center" vertical="center" wrapText="1"/>
    </xf>
    <xf numFmtId="2" fontId="8" fillId="0" borderId="17" xfId="128" applyNumberFormat="1" applyFont="1" applyFill="1" applyBorder="1" applyAlignment="1" applyProtection="1">
      <alignment vertical="center"/>
    </xf>
    <xf numFmtId="0" fontId="69" fillId="0" borderId="11" xfId="0" applyFont="1" applyBorder="1" applyAlignment="1">
      <alignment horizontal="left"/>
    </xf>
    <xf numFmtId="2" fontId="8" fillId="0" borderId="11" xfId="128" applyNumberFormat="1" applyFont="1" applyFill="1" applyBorder="1" applyAlignment="1" applyProtection="1">
      <alignment vertical="center"/>
    </xf>
    <xf numFmtId="2" fontId="8" fillId="0" borderId="15" xfId="128" applyNumberFormat="1" applyFont="1" applyFill="1" applyBorder="1" applyAlignment="1" applyProtection="1">
      <alignment vertical="center"/>
    </xf>
    <xf numFmtId="43" fontId="8" fillId="0" borderId="0" xfId="1" applyFont="1" applyFill="1" applyBorder="1" applyAlignment="1">
      <alignment horizontal="left"/>
    </xf>
    <xf numFmtId="2" fontId="8" fillId="0" borderId="0" xfId="128" applyNumberFormat="1" applyFont="1" applyFill="1" applyBorder="1" applyAlignment="1" applyProtection="1">
      <alignment vertical="center"/>
    </xf>
    <xf numFmtId="0" fontId="69" fillId="0" borderId="11" xfId="0" applyFont="1" applyBorder="1"/>
    <xf numFmtId="2" fontId="8" fillId="0" borderId="11" xfId="1" applyNumberFormat="1" applyFont="1" applyFill="1" applyBorder="1" applyAlignment="1">
      <alignment horizontal="center" vertical="center"/>
    </xf>
    <xf numFmtId="10" fontId="69" fillId="0" borderId="11" xfId="129" applyNumberFormat="1" applyFont="1" applyBorder="1" applyAlignment="1">
      <alignment horizontal="center" vertical="center"/>
    </xf>
    <xf numFmtId="10" fontId="69" fillId="0" borderId="12" xfId="129" applyNumberFormat="1" applyFont="1" applyBorder="1" applyAlignment="1">
      <alignment horizontal="center" vertical="center"/>
    </xf>
    <xf numFmtId="0" fontId="69" fillId="0" borderId="0" xfId="0" applyFont="1" applyBorder="1"/>
    <xf numFmtId="2" fontId="8" fillId="0" borderId="0" xfId="1" applyNumberFormat="1" applyFont="1" applyFill="1" applyBorder="1" applyAlignment="1">
      <alignment horizontal="center" vertical="center"/>
    </xf>
    <xf numFmtId="10" fontId="69" fillId="0" borderId="0" xfId="129" applyNumberFormat="1" applyFont="1" applyBorder="1" applyAlignment="1">
      <alignment horizontal="center" vertical="center"/>
    </xf>
    <xf numFmtId="10" fontId="69" fillId="0" borderId="13" xfId="129" applyNumberFormat="1" applyFont="1" applyBorder="1" applyAlignment="1">
      <alignment horizontal="center" vertical="center"/>
    </xf>
    <xf numFmtId="2" fontId="8" fillId="0" borderId="11" xfId="128" applyNumberFormat="1" applyFont="1" applyFill="1" applyBorder="1" applyAlignment="1" applyProtection="1">
      <alignment horizontal="center" vertical="center"/>
    </xf>
    <xf numFmtId="3" fontId="8" fillId="0" borderId="11" xfId="128" applyNumberFormat="1" applyFont="1" applyFill="1" applyBorder="1" applyAlignment="1" applyProtection="1">
      <alignment horizontal="center" vertical="center"/>
    </xf>
    <xf numFmtId="174" fontId="8" fillId="0" borderId="11" xfId="129" applyNumberFormat="1" applyFont="1" applyFill="1" applyBorder="1" applyAlignment="1" applyProtection="1">
      <alignment horizontal="center" vertical="center"/>
    </xf>
    <xf numFmtId="0" fontId="72" fillId="0" borderId="34" xfId="0" applyFont="1" applyFill="1" applyBorder="1" applyAlignment="1">
      <alignment horizontal="left" vertical="center" wrapText="1"/>
    </xf>
    <xf numFmtId="0" fontId="72" fillId="0" borderId="0" xfId="0" applyFont="1" applyFill="1" applyBorder="1" applyAlignment="1">
      <alignment horizontal="left" vertical="top"/>
    </xf>
    <xf numFmtId="1" fontId="72" fillId="0" borderId="34" xfId="0" applyNumberFormat="1" applyFont="1" applyFill="1" applyBorder="1" applyAlignment="1">
      <alignment horizontal="center" vertical="top" shrinkToFit="1"/>
    </xf>
    <xf numFmtId="0" fontId="9" fillId="0" borderId="34" xfId="0" applyFont="1" applyFill="1" applyBorder="1" applyAlignment="1">
      <alignment horizontal="center" vertical="top" wrapText="1"/>
    </xf>
    <xf numFmtId="0" fontId="9" fillId="0" borderId="34" xfId="0" applyFont="1" applyFill="1" applyBorder="1" applyAlignment="1">
      <alignment horizontal="left" vertical="top" wrapText="1" indent="2"/>
    </xf>
    <xf numFmtId="186" fontId="72" fillId="0" borderId="34" xfId="0" applyNumberFormat="1" applyFont="1" applyFill="1" applyBorder="1" applyAlignment="1">
      <alignment horizontal="left" vertical="top" indent="1" shrinkToFit="1"/>
    </xf>
    <xf numFmtId="186" fontId="72" fillId="0" borderId="34" xfId="0" applyNumberFormat="1" applyFont="1" applyFill="1" applyBorder="1" applyAlignment="1">
      <alignment horizontal="center" vertical="top" shrinkToFit="1"/>
    </xf>
    <xf numFmtId="3" fontId="72" fillId="0" borderId="34" xfId="0" applyNumberFormat="1" applyFont="1" applyFill="1" applyBorder="1" applyAlignment="1">
      <alignment horizontal="right" vertical="top" shrinkToFit="1"/>
    </xf>
    <xf numFmtId="3" fontId="72" fillId="44" borderId="34" xfId="0" applyNumberFormat="1" applyFont="1" applyFill="1" applyBorder="1" applyAlignment="1">
      <alignment horizontal="right" vertical="top" shrinkToFit="1"/>
    </xf>
    <xf numFmtId="43" fontId="72" fillId="0" borderId="0" xfId="1" applyFont="1" applyFill="1" applyBorder="1" applyAlignment="1">
      <alignment horizontal="left" vertical="top"/>
    </xf>
    <xf numFmtId="43" fontId="72" fillId="0" borderId="0" xfId="0" applyNumberFormat="1" applyFont="1" applyFill="1" applyBorder="1" applyAlignment="1">
      <alignment horizontal="left" vertical="top"/>
    </xf>
    <xf numFmtId="0" fontId="9" fillId="0" borderId="34" xfId="0" applyFont="1" applyFill="1" applyBorder="1" applyAlignment="1">
      <alignment horizontal="right" vertical="top" wrapText="1" indent="1"/>
    </xf>
    <xf numFmtId="0" fontId="9" fillId="0" borderId="34" xfId="0" applyFont="1" applyFill="1" applyBorder="1" applyAlignment="1">
      <alignment horizontal="left" vertical="top" wrapText="1" indent="1"/>
    </xf>
    <xf numFmtId="0" fontId="72" fillId="0" borderId="0" xfId="0" applyFont="1" applyFill="1" applyBorder="1" applyAlignment="1">
      <alignment horizontal="center" vertical="top"/>
    </xf>
    <xf numFmtId="186" fontId="73" fillId="0" borderId="0" xfId="0" applyNumberFormat="1" applyFont="1" applyFill="1" applyBorder="1" applyAlignment="1">
      <alignment horizontal="center" vertical="top"/>
    </xf>
    <xf numFmtId="10" fontId="70" fillId="39" borderId="1" xfId="12" applyNumberFormat="1" applyFont="1" applyFill="1" applyBorder="1" applyAlignment="1">
      <alignment horizontal="center" vertical="center" wrapText="1"/>
    </xf>
    <xf numFmtId="10" fontId="12" fillId="3" borderId="1" xfId="0" applyNumberFormat="1" applyFont="1" applyFill="1" applyBorder="1" applyAlignment="1">
      <alignment horizontal="center" vertical="center"/>
    </xf>
    <xf numFmtId="10" fontId="22" fillId="3" borderId="1" xfId="3" applyNumberFormat="1" applyFont="1" applyFill="1" applyBorder="1" applyAlignment="1">
      <alignment horizontal="center" vertical="center"/>
    </xf>
    <xf numFmtId="39" fontId="12" fillId="3" borderId="16" xfId="0" applyNumberFormat="1" applyFont="1" applyFill="1" applyBorder="1" applyAlignment="1">
      <alignment horizontal="right"/>
    </xf>
    <xf numFmtId="39" fontId="74" fillId="3" borderId="5" xfId="40" applyFont="1" applyFill="1" applyBorder="1" applyAlignment="1" applyProtection="1">
      <alignment horizontal="left"/>
      <protection hidden="1"/>
    </xf>
    <xf numFmtId="39" fontId="8" fillId="0" borderId="0" xfId="130" applyFont="1"/>
    <xf numFmtId="39" fontId="8" fillId="3" borderId="0" xfId="130" applyFont="1" applyFill="1"/>
    <xf numFmtId="39" fontId="8" fillId="0" borderId="11" xfId="130" applyFont="1" applyBorder="1"/>
    <xf numFmtId="39" fontId="8" fillId="0" borderId="12" xfId="130" applyFont="1" applyBorder="1"/>
    <xf numFmtId="39" fontId="8" fillId="0" borderId="13" xfId="130" applyFont="1" applyBorder="1"/>
    <xf numFmtId="39" fontId="8" fillId="0" borderId="0" xfId="130" applyFont="1" applyBorder="1"/>
    <xf numFmtId="39" fontId="8" fillId="0" borderId="5" xfId="130" applyFont="1" applyBorder="1"/>
    <xf numFmtId="39" fontId="8" fillId="0" borderId="14" xfId="130" applyFont="1" applyBorder="1"/>
    <xf numFmtId="39" fontId="12" fillId="3" borderId="17" xfId="0" applyNumberFormat="1" applyFont="1" applyFill="1" applyBorder="1" applyAlignment="1">
      <alignment horizontal="right" vertical="center"/>
    </xf>
    <xf numFmtId="39" fontId="12" fillId="3" borderId="15" xfId="0" applyNumberFormat="1" applyFont="1" applyFill="1" applyBorder="1" applyAlignment="1">
      <alignment horizontal="right" vertical="center"/>
    </xf>
    <xf numFmtId="39" fontId="75" fillId="3" borderId="0" xfId="130" applyFont="1" applyFill="1" applyAlignment="1">
      <alignment horizontal="center" vertical="center" wrapText="1"/>
    </xf>
    <xf numFmtId="170" fontId="75" fillId="6" borderId="18" xfId="30" applyNumberFormat="1" applyFont="1" applyFill="1" applyBorder="1" applyAlignment="1" applyProtection="1">
      <alignment horizontal="center" vertical="center" wrapText="1"/>
      <protection hidden="1"/>
    </xf>
    <xf numFmtId="39" fontId="75" fillId="6" borderId="18" xfId="30" applyFont="1" applyFill="1" applyBorder="1" applyAlignment="1" applyProtection="1">
      <alignment horizontal="center" vertical="center" wrapText="1"/>
      <protection hidden="1"/>
    </xf>
    <xf numFmtId="187" fontId="75" fillId="6" borderId="18" xfId="30" applyNumberFormat="1" applyFont="1" applyFill="1" applyBorder="1" applyAlignment="1" applyProtection="1">
      <alignment horizontal="center" vertical="center" wrapText="1"/>
      <protection hidden="1"/>
    </xf>
    <xf numFmtId="187" fontId="76" fillId="6" borderId="18" xfId="30" applyNumberFormat="1" applyFont="1" applyFill="1" applyBorder="1" applyAlignment="1" applyProtection="1">
      <alignment horizontal="center" vertical="center" wrapText="1"/>
      <protection hidden="1"/>
    </xf>
    <xf numFmtId="39" fontId="75" fillId="6" borderId="18" xfId="30" applyFont="1" applyFill="1" applyBorder="1" applyAlignment="1" applyProtection="1">
      <alignment horizontal="center" vertical="center" wrapText="1"/>
    </xf>
    <xf numFmtId="39" fontId="75" fillId="6" borderId="0" xfId="130" applyFont="1" applyFill="1" applyAlignment="1">
      <alignment horizontal="center" vertical="center" wrapText="1"/>
    </xf>
    <xf numFmtId="39" fontId="75" fillId="6" borderId="0" xfId="130" applyFont="1" applyFill="1" applyAlignment="1">
      <alignment horizontal="left" vertical="center" wrapText="1"/>
    </xf>
    <xf numFmtId="39" fontId="75" fillId="6" borderId="6" xfId="30" applyFont="1" applyFill="1" applyBorder="1" applyAlignment="1" applyProtection="1">
      <alignment horizontal="center" vertical="center" wrapText="1"/>
      <protection hidden="1"/>
    </xf>
    <xf numFmtId="187" fontId="75" fillId="6" borderId="6" xfId="30" applyNumberFormat="1" applyFont="1" applyFill="1" applyBorder="1" applyAlignment="1" applyProtection="1">
      <alignment horizontal="center" vertical="center" wrapText="1"/>
      <protection hidden="1"/>
    </xf>
    <xf numFmtId="187" fontId="76" fillId="6" borderId="6" xfId="30" applyNumberFormat="1" applyFont="1" applyFill="1" applyBorder="1" applyAlignment="1" applyProtection="1">
      <alignment horizontal="center" vertical="center" wrapText="1"/>
      <protection hidden="1"/>
    </xf>
    <xf numFmtId="39" fontId="75" fillId="6" borderId="6" xfId="30" applyFont="1" applyFill="1" applyBorder="1" applyAlignment="1" applyProtection="1">
      <alignment horizontal="center" vertical="center" wrapText="1"/>
    </xf>
    <xf numFmtId="39" fontId="40" fillId="3" borderId="0" xfId="130" applyFont="1" applyFill="1"/>
    <xf numFmtId="39" fontId="69" fillId="0" borderId="18" xfId="130" applyFont="1" applyBorder="1"/>
    <xf numFmtId="39" fontId="69" fillId="0" borderId="18" xfId="130" applyFont="1" applyBorder="1" applyAlignment="1">
      <alignment horizontal="center"/>
    </xf>
    <xf numFmtId="188" fontId="8" fillId="0" borderId="18" xfId="131" applyNumberFormat="1" applyFont="1" applyBorder="1"/>
    <xf numFmtId="39" fontId="8" fillId="0" borderId="18" xfId="130" applyFont="1" applyBorder="1"/>
    <xf numFmtId="39" fontId="69" fillId="3" borderId="0" xfId="130" applyFont="1" applyFill="1"/>
    <xf numFmtId="39" fontId="69" fillId="0" borderId="0" xfId="130" applyFont="1"/>
    <xf numFmtId="39" fontId="77" fillId="0" borderId="0" xfId="130" applyFont="1" applyAlignment="1">
      <alignment horizontal="center" vertical="center"/>
    </xf>
    <xf numFmtId="39" fontId="40" fillId="0" borderId="0" xfId="130" applyFont="1"/>
    <xf numFmtId="17" fontId="78" fillId="45" borderId="0" xfId="0" applyNumberFormat="1" applyFont="1" applyFill="1" applyAlignment="1">
      <alignment horizontal="center" vertical="center"/>
    </xf>
    <xf numFmtId="39" fontId="8" fillId="0" borderId="7" xfId="130" applyNumberFormat="1" applyFont="1" applyFill="1" applyBorder="1" applyAlignment="1">
      <alignment vertical="center"/>
    </xf>
    <xf numFmtId="4" fontId="8" fillId="0" borderId="7" xfId="30" applyNumberFormat="1" applyFont="1" applyBorder="1" applyAlignment="1" applyProtection="1">
      <alignment horizontal="center" vertical="center"/>
      <protection hidden="1"/>
    </xf>
    <xf numFmtId="188" fontId="8" fillId="0" borderId="7" xfId="131" applyNumberFormat="1" applyFont="1" applyFill="1" applyBorder="1" applyAlignment="1">
      <alignment horizontal="right"/>
    </xf>
    <xf numFmtId="40" fontId="8" fillId="0" borderId="7" xfId="131" applyFont="1" applyFill="1" applyBorder="1" applyAlignment="1">
      <alignment horizontal="right"/>
    </xf>
    <xf numFmtId="10" fontId="8" fillId="0" borderId="7" xfId="132" applyNumberFormat="1" applyFont="1" applyFill="1" applyBorder="1" applyAlignment="1">
      <alignment horizontal="right" vertical="center"/>
    </xf>
    <xf numFmtId="43" fontId="8" fillId="0" borderId="7" xfId="130" applyNumberFormat="1" applyFont="1" applyFill="1" applyBorder="1" applyAlignment="1">
      <alignment horizontal="right" vertical="center"/>
    </xf>
    <xf numFmtId="40" fontId="8" fillId="0" borderId="7" xfId="131" applyFont="1" applyBorder="1" applyAlignment="1">
      <alignment horizontal="right" vertical="center"/>
    </xf>
    <xf numFmtId="43" fontId="8" fillId="0" borderId="7" xfId="131" applyNumberFormat="1" applyFont="1" applyFill="1" applyBorder="1" applyAlignment="1">
      <alignment horizontal="right" vertical="center"/>
    </xf>
    <xf numFmtId="40" fontId="8" fillId="0" borderId="7" xfId="131" applyFont="1" applyBorder="1" applyAlignment="1">
      <alignment horizontal="right"/>
    </xf>
    <xf numFmtId="43" fontId="8" fillId="46" borderId="7" xfId="130" applyNumberFormat="1" applyFont="1" applyFill="1" applyBorder="1" applyAlignment="1">
      <alignment horizontal="right"/>
    </xf>
    <xf numFmtId="43" fontId="79" fillId="3" borderId="0" xfId="130" applyNumberFormat="1" applyFont="1" applyFill="1"/>
    <xf numFmtId="175" fontId="8" fillId="0" borderId="0" xfId="130" applyNumberFormat="1" applyFont="1"/>
    <xf numFmtId="189" fontId="8" fillId="47" borderId="7" xfId="131" applyNumberFormat="1" applyFont="1" applyFill="1" applyBorder="1" applyAlignment="1">
      <alignment horizontal="center" vertical="center"/>
    </xf>
    <xf numFmtId="43" fontId="8" fillId="0" borderId="7" xfId="130" applyNumberFormat="1" applyFont="1" applyFill="1" applyBorder="1" applyAlignment="1">
      <alignment horizontal="right"/>
    </xf>
    <xf numFmtId="39" fontId="40" fillId="0" borderId="0" xfId="130" applyFont="1" applyAlignment="1">
      <alignment horizontal="left"/>
    </xf>
    <xf numFmtId="43" fontId="8" fillId="0" borderId="7" xfId="130" applyNumberFormat="1" applyFont="1" applyBorder="1" applyAlignment="1">
      <alignment horizontal="right"/>
    </xf>
    <xf numFmtId="39" fontId="79" fillId="3" borderId="0" xfId="130" applyFont="1" applyFill="1"/>
    <xf numFmtId="10" fontId="8" fillId="0" borderId="7" xfId="132" applyNumberFormat="1" applyFont="1" applyFill="1" applyBorder="1" applyAlignment="1">
      <alignment horizontal="right"/>
    </xf>
    <xf numFmtId="43" fontId="8" fillId="0" borderId="7" xfId="131" applyNumberFormat="1" applyFont="1" applyFill="1" applyBorder="1" applyAlignment="1">
      <alignment horizontal="right"/>
    </xf>
    <xf numFmtId="189" fontId="8" fillId="47" borderId="0" xfId="131" applyNumberFormat="1" applyFont="1" applyFill="1" applyBorder="1" applyAlignment="1">
      <alignment horizontal="center" vertical="center"/>
    </xf>
    <xf numFmtId="39" fontId="8" fillId="0" borderId="7" xfId="130" applyFont="1" applyFill="1" applyBorder="1" applyAlignment="1">
      <alignment horizontal="center" vertical="center"/>
    </xf>
    <xf numFmtId="39" fontId="80" fillId="3" borderId="0" xfId="130" applyFont="1" applyFill="1"/>
    <xf numFmtId="39" fontId="79" fillId="0" borderId="7" xfId="130" applyFont="1" applyBorder="1" applyAlignment="1">
      <alignment vertical="center"/>
    </xf>
    <xf numFmtId="39" fontId="79" fillId="0" borderId="7" xfId="130" applyFont="1" applyFill="1" applyBorder="1" applyAlignment="1">
      <alignment horizontal="center" vertical="center"/>
    </xf>
    <xf numFmtId="188" fontId="79" fillId="0" borderId="7" xfId="131" applyNumberFormat="1" applyFont="1" applyFill="1" applyBorder="1" applyAlignment="1">
      <alignment horizontal="right"/>
    </xf>
    <xf numFmtId="43" fontId="79" fillId="0" borderId="7" xfId="131" applyNumberFormat="1" applyFont="1" applyFill="1" applyBorder="1" applyAlignment="1">
      <alignment horizontal="right"/>
    </xf>
    <xf numFmtId="175" fontId="79" fillId="0" borderId="0" xfId="130" applyNumberFormat="1" applyFont="1"/>
    <xf numFmtId="39" fontId="79" fillId="0" borderId="0" xfId="130" applyFont="1" applyAlignment="1">
      <alignment horizontal="center" vertical="center"/>
    </xf>
    <xf numFmtId="39" fontId="79" fillId="0" borderId="0" xfId="130" applyFont="1"/>
    <xf numFmtId="39" fontId="80" fillId="0" borderId="0" xfId="130" applyFont="1"/>
    <xf numFmtId="39" fontId="8" fillId="0" borderId="7" xfId="130" applyNumberFormat="1" applyFont="1" applyBorder="1" applyAlignment="1">
      <alignment vertical="center"/>
    </xf>
    <xf numFmtId="39" fontId="8" fillId="0" borderId="7" xfId="130" applyFont="1" applyBorder="1" applyAlignment="1">
      <alignment horizontal="center" vertical="center"/>
    </xf>
    <xf numFmtId="39" fontId="79" fillId="0" borderId="6" xfId="130" applyFont="1" applyBorder="1"/>
    <xf numFmtId="39" fontId="79" fillId="0" borderId="6" xfId="130" applyFont="1" applyFill="1" applyBorder="1" applyAlignment="1">
      <alignment horizontal="center" vertical="center"/>
    </xf>
    <xf numFmtId="188" fontId="79" fillId="0" borderId="6" xfId="131" applyNumberFormat="1" applyFont="1" applyFill="1" applyBorder="1" applyAlignment="1">
      <alignment horizontal="right"/>
    </xf>
    <xf numFmtId="43" fontId="8" fillId="0" borderId="6" xfId="131" applyNumberFormat="1" applyFont="1" applyFill="1" applyBorder="1" applyAlignment="1">
      <alignment horizontal="right"/>
    </xf>
    <xf numFmtId="10" fontId="8" fillId="0" borderId="6" xfId="132" applyNumberFormat="1" applyFont="1" applyFill="1" applyBorder="1" applyAlignment="1">
      <alignment horizontal="right"/>
    </xf>
    <xf numFmtId="43" fontId="8" fillId="0" borderId="6" xfId="130" applyNumberFormat="1" applyFont="1" applyFill="1" applyBorder="1" applyAlignment="1">
      <alignment horizontal="right"/>
    </xf>
    <xf numFmtId="40" fontId="8" fillId="0" borderId="6" xfId="131" applyFont="1" applyFill="1" applyBorder="1" applyAlignment="1">
      <alignment horizontal="right"/>
    </xf>
    <xf numFmtId="43" fontId="79" fillId="0" borderId="6" xfId="131" applyNumberFormat="1" applyFont="1" applyFill="1" applyBorder="1" applyAlignment="1">
      <alignment horizontal="right"/>
    </xf>
    <xf numFmtId="40" fontId="8" fillId="0" borderId="6" xfId="131" applyFont="1" applyFill="1" applyBorder="1" applyAlignment="1">
      <alignment horizontal="right" vertical="center"/>
    </xf>
    <xf numFmtId="40" fontId="8" fillId="0" borderId="6" xfId="131" applyFont="1" applyBorder="1" applyAlignment="1">
      <alignment horizontal="right"/>
    </xf>
    <xf numFmtId="43" fontId="8" fillId="0" borderId="6" xfId="130" applyNumberFormat="1" applyFont="1" applyBorder="1" applyAlignment="1">
      <alignment horizontal="right"/>
    </xf>
    <xf numFmtId="39" fontId="79" fillId="0" borderId="0" xfId="130" applyFont="1" applyAlignment="1">
      <alignment horizontal="left"/>
    </xf>
    <xf numFmtId="39" fontId="79" fillId="3" borderId="0" xfId="130" applyFont="1" applyFill="1" applyAlignment="1">
      <alignment vertical="center"/>
    </xf>
    <xf numFmtId="39" fontId="8" fillId="0" borderId="0" xfId="130" applyFont="1" applyAlignment="1">
      <alignment horizontal="center" vertical="center"/>
    </xf>
    <xf numFmtId="39" fontId="8" fillId="0" borderId="0" xfId="130" applyFont="1" applyAlignment="1">
      <alignment horizontal="left"/>
    </xf>
    <xf numFmtId="39" fontId="79" fillId="0" borderId="0" xfId="130" applyFont="1" applyAlignment="1">
      <alignment vertical="center"/>
    </xf>
    <xf numFmtId="0" fontId="17" fillId="0" borderId="18" xfId="0" applyFont="1" applyFill="1" applyBorder="1" applyAlignment="1">
      <alignment horizontal="center" vertical="center" wrapText="1"/>
    </xf>
    <xf numFmtId="0" fontId="17" fillId="0" borderId="18" xfId="0" applyFont="1" applyFill="1" applyBorder="1" applyAlignment="1">
      <alignment horizontal="center" vertical="center"/>
    </xf>
    <xf numFmtId="39" fontId="9" fillId="3" borderId="0" xfId="130" applyFont="1" applyFill="1"/>
    <xf numFmtId="39" fontId="9" fillId="0" borderId="0" xfId="130" applyFont="1"/>
    <xf numFmtId="17" fontId="1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6" xfId="0" applyFont="1" applyFill="1" applyBorder="1" applyAlignment="1">
      <alignment horizontal="center" vertical="center" wrapText="1"/>
    </xf>
    <xf numFmtId="39" fontId="8" fillId="0" borderId="18" xfId="130" applyNumberFormat="1" applyFont="1" applyFill="1" applyBorder="1" applyAlignment="1">
      <alignment vertical="center"/>
    </xf>
    <xf numFmtId="165" fontId="8" fillId="0" borderId="18" xfId="0" applyNumberFormat="1" applyFont="1" applyFill="1" applyBorder="1" applyAlignment="1">
      <alignment horizontal="center" vertical="center"/>
    </xf>
    <xf numFmtId="190" fontId="8" fillId="0" borderId="18" xfId="0" applyNumberFormat="1" applyFont="1" applyFill="1" applyBorder="1" applyAlignment="1">
      <alignment horizontal="center" vertical="center"/>
    </xf>
    <xf numFmtId="191" fontId="8" fillId="0" borderId="18" xfId="1" applyNumberFormat="1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39" fontId="8" fillId="0" borderId="18" xfId="0" applyNumberFormat="1" applyFont="1" applyFill="1" applyBorder="1" applyAlignment="1">
      <alignment horizontal="center" vertical="center"/>
    </xf>
    <xf numFmtId="2" fontId="8" fillId="0" borderId="18" xfId="0" applyNumberFormat="1" applyFont="1" applyFill="1" applyBorder="1" applyAlignment="1">
      <alignment horizontal="center" vertical="center"/>
    </xf>
    <xf numFmtId="165" fontId="8" fillId="0" borderId="7" xfId="0" applyNumberFormat="1" applyFont="1" applyFill="1" applyBorder="1" applyAlignment="1">
      <alignment horizontal="center" vertical="center"/>
    </xf>
    <xf numFmtId="190" fontId="8" fillId="0" borderId="7" xfId="0" applyNumberFormat="1" applyFont="1" applyFill="1" applyBorder="1" applyAlignment="1">
      <alignment horizontal="center" vertical="center"/>
    </xf>
    <xf numFmtId="191" fontId="8" fillId="0" borderId="7" xfId="1" applyNumberFormat="1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39" fontId="8" fillId="0" borderId="7" xfId="0" applyNumberFormat="1" applyFont="1" applyFill="1" applyBorder="1" applyAlignment="1">
      <alignment horizontal="center" vertical="center"/>
    </xf>
    <xf numFmtId="2" fontId="8" fillId="0" borderId="7" xfId="0" applyNumberFormat="1" applyFont="1" applyFill="1" applyBorder="1" applyAlignment="1">
      <alignment horizontal="center" vertical="center"/>
    </xf>
    <xf numFmtId="39" fontId="8" fillId="0" borderId="6" xfId="130" applyNumberFormat="1" applyFont="1" applyFill="1" applyBorder="1" applyAlignment="1">
      <alignment vertical="center"/>
    </xf>
    <xf numFmtId="165" fontId="8" fillId="0" borderId="6" xfId="0" applyNumberFormat="1" applyFont="1" applyFill="1" applyBorder="1" applyAlignment="1">
      <alignment horizontal="center" vertical="center"/>
    </xf>
    <xf numFmtId="190" fontId="8" fillId="0" borderId="6" xfId="0" applyNumberFormat="1" applyFont="1" applyFill="1" applyBorder="1" applyAlignment="1">
      <alignment horizontal="center" vertical="center"/>
    </xf>
    <xf numFmtId="191" fontId="8" fillId="0" borderId="6" xfId="1" applyNumberFormat="1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39" fontId="8" fillId="0" borderId="6" xfId="0" applyNumberFormat="1" applyFont="1" applyFill="1" applyBorder="1" applyAlignment="1">
      <alignment horizontal="center" vertical="center"/>
    </xf>
    <xf numFmtId="2" fontId="8" fillId="0" borderId="6" xfId="0" applyNumberFormat="1" applyFont="1" applyFill="1" applyBorder="1" applyAlignment="1">
      <alignment horizontal="center" vertical="center"/>
    </xf>
    <xf numFmtId="39" fontId="23" fillId="0" borderId="39" xfId="130" applyFont="1" applyBorder="1" applyAlignment="1">
      <alignment horizontal="center" vertical="center"/>
    </xf>
    <xf numFmtId="39" fontId="23" fillId="0" borderId="1" xfId="130" applyFont="1" applyBorder="1" applyAlignment="1">
      <alignment horizontal="center" vertical="center"/>
    </xf>
    <xf numFmtId="39" fontId="23" fillId="0" borderId="40" xfId="130" applyFont="1" applyBorder="1" applyAlignment="1">
      <alignment horizontal="center" vertical="center"/>
    </xf>
    <xf numFmtId="2" fontId="23" fillId="0" borderId="39" xfId="130" applyNumberFormat="1" applyFont="1" applyBorder="1" applyAlignment="1">
      <alignment horizontal="center" vertical="center"/>
    </xf>
    <xf numFmtId="2" fontId="23" fillId="0" borderId="1" xfId="130" applyNumberFormat="1" applyFont="1" applyBorder="1" applyAlignment="1">
      <alignment horizontal="center" vertical="center"/>
    </xf>
    <xf numFmtId="10" fontId="23" fillId="0" borderId="40" xfId="3" applyNumberFormat="1" applyFont="1" applyBorder="1" applyAlignment="1">
      <alignment horizontal="center" vertical="center"/>
    </xf>
    <xf numFmtId="39" fontId="8" fillId="0" borderId="0" xfId="130" applyFont="1" applyAlignment="1">
      <alignment horizontal="center"/>
    </xf>
    <xf numFmtId="188" fontId="40" fillId="0" borderId="0" xfId="131" applyNumberFormat="1" applyFont="1"/>
    <xf numFmtId="39" fontId="8" fillId="0" borderId="41" xfId="130" applyFont="1" applyBorder="1"/>
    <xf numFmtId="39" fontId="8" fillId="0" borderId="0" xfId="130" applyFont="1" applyBorder="1" applyAlignment="1">
      <alignment horizontal="left"/>
    </xf>
    <xf numFmtId="39" fontId="8" fillId="0" borderId="42" xfId="130" applyFont="1" applyBorder="1"/>
    <xf numFmtId="39" fontId="8" fillId="0" borderId="43" xfId="130" applyFont="1" applyBorder="1"/>
    <xf numFmtId="39" fontId="8" fillId="0" borderId="44" xfId="130" applyFont="1" applyBorder="1"/>
    <xf numFmtId="39" fontId="8" fillId="0" borderId="44" xfId="130" applyFont="1" applyBorder="1" applyAlignment="1">
      <alignment horizontal="left"/>
    </xf>
    <xf numFmtId="39" fontId="8" fillId="0" borderId="45" xfId="130" applyFont="1" applyBorder="1"/>
    <xf numFmtId="43" fontId="40" fillId="0" borderId="0" xfId="0" applyNumberFormat="1" applyFont="1" applyAlignment="1">
      <alignment horizontal="center" vertical="center"/>
    </xf>
    <xf numFmtId="180" fontId="9" fillId="42" borderId="18" xfId="0" applyNumberFormat="1" applyFont="1" applyFill="1" applyBorder="1" applyAlignment="1">
      <alignment horizontal="center" vertical="top" wrapText="1"/>
    </xf>
    <xf numFmtId="182" fontId="9" fillId="42" borderId="7" xfId="1" applyNumberFormat="1" applyFont="1" applyFill="1" applyBorder="1" applyAlignment="1">
      <alignment horizontal="center" vertical="top" wrapText="1"/>
    </xf>
    <xf numFmtId="180" fontId="9" fillId="42" borderId="7" xfId="1" applyNumberFormat="1" applyFont="1" applyFill="1" applyBorder="1" applyAlignment="1">
      <alignment horizontal="center" vertical="top" wrapText="1"/>
    </xf>
    <xf numFmtId="180" fontId="9" fillId="42" borderId="18" xfId="1" applyNumberFormat="1" applyFont="1" applyFill="1" applyBorder="1" applyAlignment="1">
      <alignment horizontal="center" vertical="top" wrapText="1"/>
    </xf>
    <xf numFmtId="0" fontId="68" fillId="42" borderId="12" xfId="0" applyFont="1" applyFill="1" applyBorder="1" applyAlignment="1">
      <alignment horizontal="center" vertical="center" wrapText="1"/>
    </xf>
    <xf numFmtId="0" fontId="68" fillId="0" borderId="4" xfId="0" applyFont="1" applyBorder="1" applyAlignment="1">
      <alignment horizontal="center"/>
    </xf>
    <xf numFmtId="0" fontId="9" fillId="42" borderId="6" xfId="0" applyFont="1" applyFill="1" applyBorder="1" applyAlignment="1">
      <alignment horizontal="center" vertical="top" wrapText="1"/>
    </xf>
    <xf numFmtId="0" fontId="9" fillId="42" borderId="7" xfId="0" applyFont="1" applyFill="1" applyBorder="1" applyAlignment="1">
      <alignment horizontal="center" vertical="top" wrapText="1"/>
    </xf>
    <xf numFmtId="179" fontId="9" fillId="42" borderId="13" xfId="0" applyNumberFormat="1" applyFont="1" applyFill="1" applyBorder="1" applyAlignment="1">
      <alignment horizontal="center" vertical="top" wrapText="1"/>
    </xf>
    <xf numFmtId="178" fontId="9" fillId="42" borderId="14" xfId="1" applyNumberFormat="1" applyFont="1" applyFill="1" applyBorder="1" applyAlignment="1">
      <alignment horizontal="center" vertical="top" wrapText="1"/>
    </xf>
    <xf numFmtId="178" fontId="9" fillId="42" borderId="13" xfId="1" applyNumberFormat="1" applyFont="1" applyFill="1" applyBorder="1" applyAlignment="1">
      <alignment horizontal="center" vertical="top" wrapText="1"/>
    </xf>
    <xf numFmtId="0" fontId="17" fillId="42" borderId="4" xfId="0" applyFont="1" applyFill="1" applyBorder="1" applyAlignment="1">
      <alignment horizontal="center"/>
    </xf>
    <xf numFmtId="182" fontId="9" fillId="42" borderId="6" xfId="1" applyNumberFormat="1" applyFont="1" applyFill="1" applyBorder="1" applyAlignment="1">
      <alignment horizontal="center" vertical="top" wrapText="1"/>
    </xf>
    <xf numFmtId="0" fontId="17" fillId="42" borderId="0" xfId="0" applyFont="1" applyFill="1" applyBorder="1" applyAlignment="1">
      <alignment horizontal="center" wrapText="1"/>
    </xf>
    <xf numFmtId="183" fontId="9" fillId="42" borderId="13" xfId="0" applyNumberFormat="1" applyFont="1" applyFill="1" applyBorder="1" applyAlignment="1">
      <alignment horizontal="center" vertical="top" wrapText="1"/>
    </xf>
    <xf numFmtId="0" fontId="0" fillId="0" borderId="0" xfId="0"/>
    <xf numFmtId="0" fontId="83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85" fillId="0" borderId="0" xfId="0" applyFont="1" applyAlignment="1">
      <alignment horizontal="center" vertical="center"/>
    </xf>
    <xf numFmtId="0" fontId="85" fillId="0" borderId="0" xfId="0" applyFont="1" applyAlignment="1">
      <alignment horizontal="left" vertical="center" wrapText="1"/>
    </xf>
    <xf numFmtId="170" fontId="85" fillId="0" borderId="0" xfId="0" applyNumberFormat="1" applyFont="1" applyAlignment="1">
      <alignment horizontal="right" vertical="center"/>
    </xf>
    <xf numFmtId="0" fontId="48" fillId="0" borderId="0" xfId="0" applyFont="1" applyAlignment="1">
      <alignment horizontal="center" vertical="center" wrapText="1"/>
    </xf>
    <xf numFmtId="2" fontId="69" fillId="0" borderId="0" xfId="0" applyNumberFormat="1" applyFont="1" applyAlignment="1">
      <alignment horizontal="center"/>
    </xf>
    <xf numFmtId="0" fontId="69" fillId="0" borderId="0" xfId="0" applyFont="1"/>
    <xf numFmtId="0" fontId="69" fillId="0" borderId="0" xfId="0" applyFont="1" applyAlignment="1">
      <alignment horizontal="center"/>
    </xf>
    <xf numFmtId="170" fontId="69" fillId="0" borderId="0" xfId="0" applyNumberFormat="1" applyFont="1" applyAlignment="1">
      <alignment horizontal="right"/>
    </xf>
    <xf numFmtId="173" fontId="69" fillId="0" borderId="0" xfId="0" applyNumberFormat="1" applyFont="1" applyAlignment="1">
      <alignment horizontal="center"/>
    </xf>
    <xf numFmtId="0" fontId="22" fillId="3" borderId="1" xfId="0" applyFont="1" applyFill="1" applyBorder="1" applyAlignment="1">
      <alignment horizontal="center" vertical="center"/>
    </xf>
    <xf numFmtId="44" fontId="11" fillId="3" borderId="1" xfId="2" applyFont="1" applyFill="1" applyBorder="1" applyAlignment="1" applyProtection="1">
      <alignment horizontal="center" vertical="center"/>
      <protection hidden="1"/>
    </xf>
    <xf numFmtId="0" fontId="11" fillId="3" borderId="6" xfId="81" quotePrefix="1" applyNumberFormat="1" applyFont="1" applyFill="1" applyBorder="1" applyAlignment="1" applyProtection="1">
      <alignment horizontal="center" vertical="center"/>
      <protection hidden="1"/>
    </xf>
    <xf numFmtId="39" fontId="11" fillId="3" borderId="6" xfId="81" quotePrefix="1" applyFont="1" applyFill="1" applyBorder="1" applyAlignment="1" applyProtection="1">
      <alignment horizontal="left" vertical="center"/>
      <protection hidden="1"/>
    </xf>
    <xf numFmtId="0" fontId="16" fillId="3" borderId="0" xfId="0" applyFont="1" applyFill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10" fontId="40" fillId="0" borderId="1" xfId="3" applyNumberFormat="1" applyFont="1" applyBorder="1" applyAlignment="1">
      <alignment horizontal="center" vertical="center"/>
    </xf>
    <xf numFmtId="43" fontId="40" fillId="0" borderId="1" xfId="1" applyFont="1" applyBorder="1" applyAlignment="1">
      <alignment horizontal="center" vertical="center"/>
    </xf>
    <xf numFmtId="4" fontId="16" fillId="3" borderId="0" xfId="0" applyNumberFormat="1" applyFont="1" applyFill="1"/>
    <xf numFmtId="44" fontId="16" fillId="3" borderId="0" xfId="2" applyFont="1" applyFill="1"/>
    <xf numFmtId="39" fontId="22" fillId="3" borderId="11" xfId="0" applyNumberFormat="1" applyFont="1" applyFill="1" applyBorder="1" applyAlignment="1">
      <alignment vertical="center"/>
    </xf>
    <xf numFmtId="4" fontId="23" fillId="3" borderId="11" xfId="81" applyNumberFormat="1" applyFont="1" applyFill="1" applyBorder="1" applyAlignment="1">
      <alignment vertical="center"/>
    </xf>
    <xf numFmtId="44" fontId="23" fillId="3" borderId="11" xfId="2" applyFont="1" applyFill="1" applyBorder="1" applyAlignment="1">
      <alignment vertical="center"/>
    </xf>
    <xf numFmtId="44" fontId="13" fillId="3" borderId="11" xfId="2" applyFont="1" applyFill="1" applyBorder="1" applyAlignment="1">
      <alignment horizontal="right" vertical="center"/>
    </xf>
    <xf numFmtId="39" fontId="13" fillId="3" borderId="12" xfId="21" applyNumberFormat="1" applyFont="1" applyFill="1" applyBorder="1" applyAlignment="1">
      <alignment horizontal="left" vertical="center"/>
    </xf>
    <xf numFmtId="4" fontId="23" fillId="3" borderId="0" xfId="81" applyNumberFormat="1" applyFont="1" applyFill="1" applyBorder="1" applyAlignment="1">
      <alignment vertical="center"/>
    </xf>
    <xf numFmtId="44" fontId="23" fillId="3" borderId="0" xfId="2" applyFont="1" applyFill="1" applyBorder="1" applyAlignment="1">
      <alignment vertical="center"/>
    </xf>
    <xf numFmtId="44" fontId="13" fillId="3" borderId="0" xfId="2" applyFont="1" applyFill="1" applyBorder="1" applyAlignment="1">
      <alignment horizontal="right" vertical="center"/>
    </xf>
    <xf numFmtId="10" fontId="23" fillId="3" borderId="13" xfId="21" applyNumberFormat="1" applyFont="1" applyFill="1" applyBorder="1" applyAlignment="1">
      <alignment horizontal="left" vertical="center"/>
    </xf>
    <xf numFmtId="4" fontId="23" fillId="3" borderId="5" xfId="81" applyNumberFormat="1" applyFont="1" applyFill="1" applyBorder="1" applyAlignment="1">
      <alignment vertical="center"/>
    </xf>
    <xf numFmtId="44" fontId="23" fillId="3" borderId="5" xfId="2" applyFont="1" applyFill="1" applyBorder="1" applyAlignment="1">
      <alignment vertical="center"/>
    </xf>
    <xf numFmtId="44" fontId="13" fillId="3" borderId="5" xfId="2" applyFont="1" applyFill="1" applyBorder="1" applyAlignment="1">
      <alignment horizontal="right" vertical="center"/>
    </xf>
    <xf numFmtId="0" fontId="40" fillId="0" borderId="0" xfId="0" applyFont="1" applyAlignment="1">
      <alignment horizontal="left" vertical="center" wrapText="1"/>
    </xf>
    <xf numFmtId="4" fontId="40" fillId="0" borderId="0" xfId="0" applyNumberFormat="1" applyFont="1" applyAlignment="1">
      <alignment horizontal="left" vertical="center" wrapText="1"/>
    </xf>
    <xf numFmtId="44" fontId="40" fillId="0" borderId="0" xfId="2" applyFont="1" applyAlignment="1">
      <alignment horizontal="center" vertical="center"/>
    </xf>
    <xf numFmtId="10" fontId="40" fillId="0" borderId="0" xfId="3" applyNumberFormat="1" applyFont="1" applyAlignment="1">
      <alignment horizontal="center" vertical="center"/>
    </xf>
    <xf numFmtId="39" fontId="12" fillId="48" borderId="1" xfId="30" applyFont="1" applyFill="1" applyBorder="1" applyAlignment="1">
      <alignment horizontal="center" vertical="center"/>
    </xf>
    <xf numFmtId="0" fontId="41" fillId="3" borderId="0" xfId="0" applyFont="1" applyFill="1" applyAlignment="1">
      <alignment horizontal="center" vertical="center"/>
    </xf>
    <xf numFmtId="39" fontId="12" fillId="48" borderId="51" xfId="30" applyFont="1" applyFill="1" applyBorder="1" applyAlignment="1">
      <alignment horizontal="center" vertical="center"/>
    </xf>
    <xf numFmtId="39" fontId="12" fillId="48" borderId="52" xfId="30" applyFont="1" applyFill="1" applyBorder="1" applyAlignment="1">
      <alignment horizontal="center" vertical="center"/>
    </xf>
    <xf numFmtId="43" fontId="41" fillId="0" borderId="1" xfId="1" applyFont="1" applyBorder="1" applyAlignment="1">
      <alignment horizontal="center" vertical="center"/>
    </xf>
    <xf numFmtId="10" fontId="41" fillId="0" borderId="1" xfId="1" applyNumberFormat="1" applyFont="1" applyBorder="1" applyAlignment="1">
      <alignment horizontal="center" vertical="center"/>
    </xf>
    <xf numFmtId="10" fontId="41" fillId="0" borderId="3" xfId="1" applyNumberFormat="1" applyFont="1" applyBorder="1" applyAlignment="1">
      <alignment horizontal="center" vertical="center"/>
    </xf>
    <xf numFmtId="10" fontId="41" fillId="0" borderId="3" xfId="3" applyNumberFormat="1" applyFont="1" applyBorder="1" applyAlignment="1">
      <alignment horizontal="center" vertical="center"/>
    </xf>
    <xf numFmtId="39" fontId="12" fillId="48" borderId="46" xfId="30" applyFont="1" applyFill="1" applyBorder="1" applyAlignment="1">
      <alignment horizontal="center" vertical="center"/>
    </xf>
    <xf numFmtId="17" fontId="22" fillId="3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169" fontId="41" fillId="0" borderId="1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17" fillId="42" borderId="3" xfId="0" applyFont="1" applyFill="1" applyBorder="1" applyAlignment="1">
      <alignment horizontal="center" vertical="center"/>
    </xf>
    <xf numFmtId="0" fontId="17" fillId="42" borderId="4" xfId="0" applyFont="1" applyFill="1" applyBorder="1" applyAlignment="1">
      <alignment horizontal="center" vertical="center"/>
    </xf>
    <xf numFmtId="0" fontId="17" fillId="42" borderId="2" xfId="0" applyFont="1" applyFill="1" applyBorder="1" applyAlignment="1">
      <alignment horizontal="center" vertical="center"/>
    </xf>
    <xf numFmtId="0" fontId="67" fillId="0" borderId="4" xfId="0" applyFont="1" applyBorder="1" applyAlignment="1">
      <alignment horizontal="center"/>
    </xf>
    <xf numFmtId="0" fontId="67" fillId="0" borderId="2" xfId="0" applyFont="1" applyBorder="1" applyAlignment="1">
      <alignment horizontal="center"/>
    </xf>
    <xf numFmtId="0" fontId="67" fillId="0" borderId="4" xfId="0" applyFont="1" applyBorder="1" applyAlignment="1">
      <alignment horizontal="center" wrapText="1"/>
    </xf>
    <xf numFmtId="0" fontId="67" fillId="0" borderId="2" xfId="0" applyFont="1" applyBorder="1" applyAlignment="1">
      <alignment horizontal="center" wrapText="1"/>
    </xf>
    <xf numFmtId="43" fontId="22" fillId="0" borderId="1" xfId="1" applyFont="1" applyFill="1" applyBorder="1" applyAlignment="1">
      <alignment horizontal="center" vertical="center"/>
    </xf>
    <xf numFmtId="43" fontId="41" fillId="0" borderId="3" xfId="1" applyFont="1" applyFill="1" applyBorder="1" applyAlignment="1">
      <alignment horizontal="center" vertical="center"/>
    </xf>
    <xf numFmtId="14" fontId="22" fillId="0" borderId="1" xfId="1" applyNumberFormat="1" applyFont="1" applyFill="1" applyBorder="1" applyAlignment="1">
      <alignment horizontal="center" vertical="center"/>
    </xf>
    <xf numFmtId="43" fontId="41" fillId="0" borderId="1" xfId="1" applyFont="1" applyFill="1" applyBorder="1" applyAlignment="1">
      <alignment horizontal="center" vertical="center"/>
    </xf>
    <xf numFmtId="39" fontId="8" fillId="3" borderId="15" xfId="130" applyFont="1" applyFill="1" applyBorder="1"/>
    <xf numFmtId="0" fontId="93" fillId="3" borderId="15" xfId="0" applyFont="1" applyFill="1" applyBorder="1" applyAlignment="1">
      <alignment horizontal="center" wrapText="1"/>
    </xf>
    <xf numFmtId="0" fontId="93" fillId="3" borderId="0" xfId="0" applyFont="1" applyFill="1" applyAlignment="1">
      <alignment horizontal="center" wrapText="1"/>
    </xf>
    <xf numFmtId="0" fontId="93" fillId="3" borderId="13" xfId="0" applyFont="1" applyFill="1" applyBorder="1" applyAlignment="1">
      <alignment horizontal="center" wrapText="1"/>
    </xf>
    <xf numFmtId="192" fontId="40" fillId="0" borderId="0" xfId="3" applyNumberFormat="1" applyFont="1" applyAlignment="1">
      <alignment horizontal="center" vertical="center"/>
    </xf>
    <xf numFmtId="0" fontId="22" fillId="3" borderId="0" xfId="0" applyFont="1" applyFill="1" applyBorder="1" applyAlignment="1"/>
    <xf numFmtId="39" fontId="23" fillId="3" borderId="17" xfId="81" applyFont="1" applyFill="1" applyBorder="1" applyAlignment="1"/>
    <xf numFmtId="39" fontId="12" fillId="3" borderId="11" xfId="0" applyNumberFormat="1" applyFont="1" applyFill="1" applyBorder="1" applyAlignment="1">
      <alignment horizontal="right"/>
    </xf>
    <xf numFmtId="0" fontId="22" fillId="3" borderId="11" xfId="0" applyFont="1" applyFill="1" applyBorder="1" applyAlignment="1"/>
    <xf numFmtId="39" fontId="23" fillId="3" borderId="11" xfId="81" applyFont="1" applyFill="1" applyBorder="1" applyAlignment="1">
      <alignment horizontal="center"/>
    </xf>
    <xf numFmtId="43" fontId="23" fillId="3" borderId="11" xfId="1" applyFont="1" applyFill="1" applyBorder="1" applyAlignment="1"/>
    <xf numFmtId="43" fontId="13" fillId="3" borderId="11" xfId="1" applyFont="1" applyFill="1" applyBorder="1" applyAlignment="1">
      <alignment horizontal="right"/>
    </xf>
    <xf numFmtId="49" fontId="13" fillId="3" borderId="12" xfId="21" applyNumberFormat="1" applyFont="1" applyFill="1" applyBorder="1" applyAlignment="1">
      <alignment horizontal="left"/>
    </xf>
    <xf numFmtId="39" fontId="23" fillId="3" borderId="0" xfId="81" applyFont="1" applyFill="1" applyAlignment="1"/>
    <xf numFmtId="0" fontId="27" fillId="3" borderId="15" xfId="0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0" fontId="27" fillId="3" borderId="13" xfId="0" applyFont="1" applyFill="1" applyBorder="1" applyAlignment="1">
      <alignment horizontal="center" vertical="center"/>
    </xf>
    <xf numFmtId="0" fontId="21" fillId="3" borderId="17" xfId="0" applyFont="1" applyFill="1" applyBorder="1" applyAlignment="1" applyProtection="1">
      <alignment horizontal="center"/>
      <protection hidden="1"/>
    </xf>
    <xf numFmtId="0" fontId="21" fillId="3" borderId="11" xfId="0" applyFont="1" applyFill="1" applyBorder="1" applyAlignment="1" applyProtection="1">
      <alignment horizontal="center"/>
      <protection hidden="1"/>
    </xf>
    <xf numFmtId="0" fontId="21" fillId="3" borderId="12" xfId="0" applyFont="1" applyFill="1" applyBorder="1" applyAlignment="1" applyProtection="1">
      <alignment horizontal="center"/>
      <protection hidden="1"/>
    </xf>
    <xf numFmtId="0" fontId="21" fillId="3" borderId="15" xfId="0" applyFont="1" applyFill="1" applyBorder="1" applyAlignment="1">
      <alignment horizontal="center"/>
    </xf>
    <xf numFmtId="0" fontId="21" fillId="3" borderId="0" xfId="0" applyFont="1" applyFill="1" applyAlignment="1">
      <alignment horizontal="center"/>
    </xf>
    <xf numFmtId="0" fontId="21" fillId="3" borderId="13" xfId="0" applyFont="1" applyFill="1" applyBorder="1" applyAlignment="1">
      <alignment horizontal="center"/>
    </xf>
    <xf numFmtId="0" fontId="93" fillId="3" borderId="15" xfId="0" applyFont="1" applyFill="1" applyBorder="1" applyAlignment="1">
      <alignment horizontal="center" wrapText="1"/>
    </xf>
    <xf numFmtId="0" fontId="93" fillId="3" borderId="0" xfId="0" applyFont="1" applyFill="1" applyAlignment="1">
      <alignment horizontal="center" wrapText="1"/>
    </xf>
    <xf numFmtId="0" fontId="93" fillId="3" borderId="13" xfId="0" applyFont="1" applyFill="1" applyBorder="1" applyAlignment="1">
      <alignment horizontal="center" wrapText="1"/>
    </xf>
    <xf numFmtId="0" fontId="21" fillId="3" borderId="15" xfId="0" applyFont="1" applyFill="1" applyBorder="1" applyAlignment="1" applyProtection="1">
      <alignment horizontal="center"/>
      <protection hidden="1"/>
    </xf>
    <xf numFmtId="0" fontId="21" fillId="3" borderId="0" xfId="0" applyFont="1" applyFill="1" applyBorder="1" applyAlignment="1" applyProtection="1">
      <alignment horizontal="center"/>
      <protection hidden="1"/>
    </xf>
    <xf numFmtId="0" fontId="21" fillId="3" borderId="13" xfId="0" applyFont="1" applyFill="1" applyBorder="1" applyAlignment="1" applyProtection="1">
      <alignment horizontal="center"/>
      <protection hidden="1"/>
    </xf>
    <xf numFmtId="0" fontId="21" fillId="3" borderId="0" xfId="0" applyFont="1" applyFill="1" applyAlignment="1" applyProtection="1">
      <alignment horizontal="center"/>
      <protection hidden="1"/>
    </xf>
    <xf numFmtId="0" fontId="20" fillId="3" borderId="15" xfId="0" applyFont="1" applyFill="1" applyBorder="1" applyAlignment="1">
      <alignment horizontal="center"/>
    </xf>
    <xf numFmtId="0" fontId="20" fillId="3" borderId="0" xfId="0" applyFont="1" applyFill="1" applyBorder="1" applyAlignment="1">
      <alignment horizontal="center"/>
    </xf>
    <xf numFmtId="0" fontId="20" fillId="3" borderId="13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/>
    </xf>
    <xf numFmtId="0" fontId="38" fillId="3" borderId="0" xfId="0" applyFont="1" applyFill="1" applyBorder="1" applyAlignment="1">
      <alignment horizontal="center" vertical="center"/>
    </xf>
    <xf numFmtId="39" fontId="46" fillId="3" borderId="0" xfId="81" applyFont="1" applyFill="1" applyBorder="1" applyAlignment="1" applyProtection="1">
      <alignment horizontal="center" vertical="center"/>
      <protection hidden="1"/>
    </xf>
    <xf numFmtId="0" fontId="19" fillId="3" borderId="15" xfId="0" applyFont="1" applyFill="1" applyBorder="1" applyAlignment="1" applyProtection="1">
      <alignment horizontal="center"/>
      <protection hidden="1"/>
    </xf>
    <xf numFmtId="0" fontId="19" fillId="3" borderId="0" xfId="0" applyFont="1" applyFill="1" applyAlignment="1" applyProtection="1">
      <alignment horizontal="center"/>
      <protection hidden="1"/>
    </xf>
    <xf numFmtId="0" fontId="19" fillId="3" borderId="13" xfId="0" applyFont="1" applyFill="1" applyBorder="1" applyAlignment="1" applyProtection="1">
      <alignment horizontal="center"/>
      <protection hidden="1"/>
    </xf>
    <xf numFmtId="0" fontId="16" fillId="3" borderId="11" xfId="0" applyFont="1" applyFill="1" applyBorder="1" applyAlignment="1">
      <alignment horizontal="center"/>
    </xf>
    <xf numFmtId="44" fontId="11" fillId="3" borderId="1" xfId="2" applyFont="1" applyFill="1" applyBorder="1" applyAlignment="1" applyProtection="1">
      <alignment horizontal="center" vertical="center"/>
      <protection hidden="1"/>
    </xf>
    <xf numFmtId="0" fontId="45" fillId="3" borderId="18" xfId="81" quotePrefix="1" applyNumberFormat="1" applyFont="1" applyFill="1" applyBorder="1" applyAlignment="1" applyProtection="1">
      <alignment horizontal="center" vertical="center"/>
      <protection hidden="1"/>
    </xf>
    <xf numFmtId="0" fontId="45" fillId="3" borderId="6" xfId="81" quotePrefix="1" applyNumberFormat="1" applyFont="1" applyFill="1" applyBorder="1" applyAlignment="1" applyProtection="1">
      <alignment horizontal="center" vertical="center"/>
      <protection hidden="1"/>
    </xf>
    <xf numFmtId="39" fontId="45" fillId="3" borderId="18" xfId="81" quotePrefix="1" applyFont="1" applyFill="1" applyBorder="1" applyAlignment="1" applyProtection="1">
      <alignment horizontal="left" vertical="center"/>
      <protection hidden="1"/>
    </xf>
    <xf numFmtId="39" fontId="45" fillId="3" borderId="6" xfId="81" quotePrefix="1" applyFont="1" applyFill="1" applyBorder="1" applyAlignment="1" applyProtection="1">
      <alignment horizontal="left" vertical="center"/>
      <protection hidden="1"/>
    </xf>
    <xf numFmtId="0" fontId="39" fillId="3" borderId="18" xfId="0" applyFont="1" applyFill="1" applyBorder="1" applyAlignment="1">
      <alignment horizontal="center" vertical="center"/>
    </xf>
    <xf numFmtId="39" fontId="25" fillId="3" borderId="21" xfId="81" quotePrefix="1" applyFont="1" applyFill="1" applyBorder="1" applyAlignment="1" applyProtection="1">
      <alignment horizontal="center" vertical="center"/>
      <protection hidden="1"/>
    </xf>
    <xf numFmtId="39" fontId="25" fillId="3" borderId="8" xfId="81" quotePrefix="1" applyFont="1" applyFill="1" applyBorder="1" applyAlignment="1" applyProtection="1">
      <alignment horizontal="center" vertical="center"/>
      <protection hidden="1"/>
    </xf>
    <xf numFmtId="39" fontId="25" fillId="3" borderId="20" xfId="81" quotePrefix="1" applyFont="1" applyFill="1" applyBorder="1" applyAlignment="1" applyProtection="1">
      <alignment horizontal="center" vertical="center"/>
      <protection hidden="1"/>
    </xf>
    <xf numFmtId="39" fontId="25" fillId="3" borderId="19" xfId="81" quotePrefix="1" applyFont="1" applyFill="1" applyBorder="1" applyAlignment="1" applyProtection="1">
      <alignment horizontal="center" vertical="center"/>
      <protection hidden="1"/>
    </xf>
    <xf numFmtId="44" fontId="25" fillId="3" borderId="22" xfId="2" quotePrefix="1" applyFont="1" applyFill="1" applyBorder="1" applyAlignment="1" applyProtection="1">
      <alignment horizontal="center" vertical="center"/>
      <protection hidden="1"/>
    </xf>
    <xf numFmtId="44" fontId="25" fillId="3" borderId="23" xfId="2" quotePrefix="1" applyFont="1" applyFill="1" applyBorder="1" applyAlignment="1" applyProtection="1">
      <alignment horizontal="center" vertical="center"/>
      <protection hidden="1"/>
    </xf>
    <xf numFmtId="0" fontId="38" fillId="5" borderId="3" xfId="0" applyFont="1" applyFill="1" applyBorder="1" applyAlignment="1">
      <alignment horizontal="center" vertical="center"/>
    </xf>
    <xf numFmtId="0" fontId="38" fillId="5" borderId="4" xfId="0" applyFont="1" applyFill="1" applyBorder="1" applyAlignment="1">
      <alignment horizontal="center" vertical="center"/>
    </xf>
    <xf numFmtId="0" fontId="38" fillId="5" borderId="2" xfId="0" applyFont="1" applyFill="1" applyBorder="1" applyAlignment="1">
      <alignment horizontal="center" vertical="center"/>
    </xf>
    <xf numFmtId="39" fontId="46" fillId="6" borderId="1" xfId="81" applyFont="1" applyFill="1" applyBorder="1" applyAlignment="1" applyProtection="1">
      <alignment horizontal="center" vertical="center"/>
      <protection hidden="1"/>
    </xf>
    <xf numFmtId="0" fontId="19" fillId="3" borderId="0" xfId="0" applyFont="1" applyFill="1" applyBorder="1" applyAlignment="1" applyProtection="1">
      <alignment horizontal="center"/>
      <protection hidden="1"/>
    </xf>
    <xf numFmtId="0" fontId="20" fillId="3" borderId="16" xfId="0" applyFont="1" applyFill="1" applyBorder="1" applyAlignment="1">
      <alignment horizontal="center"/>
    </xf>
    <xf numFmtId="0" fontId="20" fillId="3" borderId="5" xfId="0" applyFont="1" applyFill="1" applyBorder="1" applyAlignment="1">
      <alignment horizontal="center"/>
    </xf>
    <xf numFmtId="0" fontId="20" fillId="3" borderId="14" xfId="0" applyFont="1" applyFill="1" applyBorder="1" applyAlignment="1">
      <alignment horizontal="center"/>
    </xf>
    <xf numFmtId="0" fontId="19" fillId="5" borderId="3" xfId="0" applyFont="1" applyFill="1" applyBorder="1" applyAlignment="1">
      <alignment horizontal="center" vertical="center"/>
    </xf>
    <xf numFmtId="0" fontId="19" fillId="5" borderId="4" xfId="0" applyFont="1" applyFill="1" applyBorder="1" applyAlignment="1">
      <alignment horizontal="center" vertical="center"/>
    </xf>
    <xf numFmtId="0" fontId="19" fillId="5" borderId="2" xfId="0" applyFont="1" applyFill="1" applyBorder="1" applyAlignment="1">
      <alignment horizontal="center" vertical="center"/>
    </xf>
    <xf numFmtId="0" fontId="34" fillId="3" borderId="15" xfId="0" applyFont="1" applyFill="1" applyBorder="1" applyAlignment="1">
      <alignment horizontal="center"/>
    </xf>
    <xf numFmtId="0" fontId="34" fillId="3" borderId="0" xfId="0" applyFont="1" applyFill="1" applyBorder="1" applyAlignment="1">
      <alignment horizontal="center"/>
    </xf>
    <xf numFmtId="0" fontId="34" fillId="3" borderId="13" xfId="0" applyFont="1" applyFill="1" applyBorder="1" applyAlignment="1">
      <alignment horizontal="center"/>
    </xf>
    <xf numFmtId="0" fontId="19" fillId="3" borderId="15" xfId="0" applyFont="1" applyFill="1" applyBorder="1" applyAlignment="1" applyProtection="1">
      <alignment horizontal="center" vertical="center"/>
      <protection hidden="1"/>
    </xf>
    <xf numFmtId="0" fontId="19" fillId="3" borderId="0" xfId="0" applyFont="1" applyFill="1" applyBorder="1" applyAlignment="1" applyProtection="1">
      <alignment horizontal="center" vertical="center"/>
      <protection hidden="1"/>
    </xf>
    <xf numFmtId="0" fontId="19" fillId="3" borderId="13" xfId="0" applyFont="1" applyFill="1" applyBorder="1" applyAlignment="1" applyProtection="1">
      <alignment horizontal="center" vertical="center"/>
      <protection hidden="1"/>
    </xf>
    <xf numFmtId="0" fontId="19" fillId="3" borderId="16" xfId="0" applyFont="1" applyFill="1" applyBorder="1" applyAlignment="1" applyProtection="1">
      <alignment horizontal="center" vertical="center"/>
      <protection hidden="1"/>
    </xf>
    <xf numFmtId="0" fontId="19" fillId="3" borderId="5" xfId="0" applyFont="1" applyFill="1" applyBorder="1" applyAlignment="1" applyProtection="1">
      <alignment horizontal="center" vertical="center"/>
      <protection hidden="1"/>
    </xf>
    <xf numFmtId="0" fontId="19" fillId="3" borderId="14" xfId="0" applyFont="1" applyFill="1" applyBorder="1" applyAlignment="1" applyProtection="1">
      <alignment horizontal="center" vertical="center"/>
      <protection hidden="1"/>
    </xf>
    <xf numFmtId="0" fontId="46" fillId="7" borderId="3" xfId="0" applyFont="1" applyFill="1" applyBorder="1" applyAlignment="1">
      <alignment horizontal="center" vertical="center"/>
    </xf>
    <xf numFmtId="0" fontId="46" fillId="7" borderId="4" xfId="0" applyFont="1" applyFill="1" applyBorder="1" applyAlignment="1">
      <alignment horizontal="center" vertical="center"/>
    </xf>
    <xf numFmtId="43" fontId="13" fillId="4" borderId="18" xfId="1" applyFont="1" applyFill="1" applyBorder="1" applyAlignment="1">
      <alignment horizontal="center" vertical="center" wrapText="1"/>
    </xf>
    <xf numFmtId="43" fontId="13" fillId="4" borderId="6" xfId="1" applyFont="1" applyFill="1" applyBorder="1" applyAlignment="1">
      <alignment horizontal="center" vertical="center" wrapText="1"/>
    </xf>
    <xf numFmtId="0" fontId="13" fillId="4" borderId="18" xfId="21" applyFont="1" applyFill="1" applyBorder="1" applyAlignment="1">
      <alignment horizontal="center" vertical="center" wrapText="1"/>
    </xf>
    <xf numFmtId="0" fontId="13" fillId="4" borderId="7" xfId="21" applyFont="1" applyFill="1" applyBorder="1" applyAlignment="1">
      <alignment horizontal="center" vertical="center" wrapText="1"/>
    </xf>
    <xf numFmtId="0" fontId="13" fillId="4" borderId="3" xfId="21" applyFont="1" applyFill="1" applyBorder="1" applyAlignment="1">
      <alignment horizontal="center" vertical="center"/>
    </xf>
    <xf numFmtId="0" fontId="13" fillId="4" borderId="2" xfId="21" applyFont="1" applyFill="1" applyBorder="1" applyAlignment="1">
      <alignment horizontal="center" vertical="center"/>
    </xf>
    <xf numFmtId="0" fontId="23" fillId="4" borderId="18" xfId="21" applyFont="1" applyFill="1" applyBorder="1" applyAlignment="1">
      <alignment horizontal="center" vertical="center" wrapText="1"/>
    </xf>
    <xf numFmtId="0" fontId="23" fillId="4" borderId="7" xfId="21" applyFont="1" applyFill="1" applyBorder="1" applyAlignment="1">
      <alignment horizontal="center" vertical="center" wrapText="1"/>
    </xf>
    <xf numFmtId="43" fontId="71" fillId="39" borderId="3" xfId="1" applyFont="1" applyFill="1" applyBorder="1" applyAlignment="1">
      <alignment horizontal="center" vertical="center" wrapText="1"/>
    </xf>
    <xf numFmtId="43" fontId="71" fillId="39" borderId="4" xfId="1" applyFont="1" applyFill="1" applyBorder="1" applyAlignment="1">
      <alignment horizontal="center" vertical="center" wrapText="1"/>
    </xf>
    <xf numFmtId="43" fontId="71" fillId="39" borderId="2" xfId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right" vertical="center"/>
    </xf>
    <xf numFmtId="10" fontId="22" fillId="3" borderId="1" xfId="44" applyNumberFormat="1" applyFont="1" applyFill="1" applyBorder="1" applyAlignment="1">
      <alignment horizontal="center" vertical="center"/>
    </xf>
    <xf numFmtId="39" fontId="37" fillId="2" borderId="3" xfId="37" applyFont="1" applyFill="1" applyBorder="1" applyAlignment="1">
      <alignment horizontal="center" vertical="center"/>
    </xf>
    <xf numFmtId="0" fontId="22" fillId="0" borderId="0" xfId="0" applyFont="1" applyBorder="1" applyAlignment="1">
      <alignment vertical="center"/>
    </xf>
    <xf numFmtId="10" fontId="36" fillId="2" borderId="3" xfId="37" applyNumberFormat="1" applyFont="1" applyFill="1" applyBorder="1" applyAlignment="1">
      <alignment horizontal="center" vertical="center"/>
    </xf>
    <xf numFmtId="10" fontId="36" fillId="2" borderId="2" xfId="37" applyNumberFormat="1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vertical="center"/>
    </xf>
    <xf numFmtId="0" fontId="74" fillId="3" borderId="1" xfId="0" applyFont="1" applyFill="1" applyBorder="1" applyAlignment="1">
      <alignment horizontal="center" vertical="center"/>
    </xf>
    <xf numFmtId="0" fontId="74" fillId="3" borderId="3" xfId="0" applyFont="1" applyFill="1" applyBorder="1" applyAlignment="1">
      <alignment horizontal="center" vertical="center"/>
    </xf>
    <xf numFmtId="10" fontId="22" fillId="3" borderId="3" xfId="44" applyNumberFormat="1" applyFont="1" applyFill="1" applyBorder="1" applyAlignment="1">
      <alignment horizontal="center" vertical="center"/>
    </xf>
    <xf numFmtId="10" fontId="22" fillId="3" borderId="2" xfId="44" applyNumberFormat="1" applyFont="1" applyFill="1" applyBorder="1" applyAlignment="1">
      <alignment horizontal="center" vertical="center"/>
    </xf>
    <xf numFmtId="10" fontId="37" fillId="2" borderId="3" xfId="51" applyNumberFormat="1" applyFont="1" applyFill="1" applyBorder="1" applyAlignment="1">
      <alignment horizontal="center" vertical="center"/>
    </xf>
    <xf numFmtId="10" fontId="37" fillId="2" borderId="2" xfId="51" applyNumberFormat="1" applyFont="1" applyFill="1" applyBorder="1" applyAlignment="1">
      <alignment horizontal="center" vertical="center"/>
    </xf>
    <xf numFmtId="0" fontId="12" fillId="3" borderId="3" xfId="0" applyFont="1" applyFill="1" applyBorder="1"/>
    <xf numFmtId="0" fontId="12" fillId="3" borderId="4" xfId="0" applyFont="1" applyFill="1" applyBorder="1"/>
    <xf numFmtId="0" fontId="12" fillId="3" borderId="2" xfId="0" applyFont="1" applyFill="1" applyBorder="1"/>
    <xf numFmtId="0" fontId="22" fillId="3" borderId="1" xfId="0" applyFont="1" applyFill="1" applyBorder="1" applyAlignment="1">
      <alignment vertical="center" wrapText="1"/>
    </xf>
    <xf numFmtId="0" fontId="22" fillId="3" borderId="1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 vertical="center"/>
    </xf>
    <xf numFmtId="10" fontId="37" fillId="2" borderId="3" xfId="37" applyNumberFormat="1" applyFont="1" applyFill="1" applyBorder="1" applyAlignment="1">
      <alignment horizontal="center" vertical="center"/>
    </xf>
    <xf numFmtId="10" fontId="37" fillId="2" borderId="4" xfId="37" applyNumberFormat="1" applyFont="1" applyFill="1" applyBorder="1" applyAlignment="1">
      <alignment horizontal="center" vertical="center"/>
    </xf>
    <xf numFmtId="10" fontId="37" fillId="2" borderId="2" xfId="37" applyNumberFormat="1" applyFont="1" applyFill="1" applyBorder="1" applyAlignment="1">
      <alignment horizontal="center" vertical="center"/>
    </xf>
    <xf numFmtId="0" fontId="22" fillId="3" borderId="1" xfId="0" applyFont="1" applyFill="1" applyBorder="1"/>
    <xf numFmtId="0" fontId="12" fillId="3" borderId="1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3" fillId="3" borderId="3" xfId="0" applyFont="1" applyFill="1" applyBorder="1" applyAlignment="1">
      <alignment horizontal="center" vertical="center"/>
    </xf>
    <xf numFmtId="10" fontId="23" fillId="3" borderId="1" xfId="44" applyNumberFormat="1" applyFont="1" applyFill="1" applyBorder="1" applyAlignment="1">
      <alignment horizontal="center" vertical="center"/>
    </xf>
    <xf numFmtId="39" fontId="37" fillId="2" borderId="16" xfId="37" applyFont="1" applyFill="1" applyBorder="1" applyAlignment="1">
      <alignment horizontal="center" vertical="center"/>
    </xf>
    <xf numFmtId="39" fontId="37" fillId="2" borderId="15" xfId="37" applyFont="1" applyFill="1" applyBorder="1" applyAlignment="1">
      <alignment horizontal="center" vertical="center"/>
    </xf>
    <xf numFmtId="39" fontId="36" fillId="2" borderId="3" xfId="36" applyFont="1" applyFill="1" applyBorder="1" applyAlignment="1">
      <alignment horizontal="center" vertical="center"/>
    </xf>
    <xf numFmtId="39" fontId="36" fillId="2" borderId="2" xfId="36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/>
    </xf>
    <xf numFmtId="0" fontId="22" fillId="0" borderId="4" xfId="0" applyFont="1" applyBorder="1" applyAlignment="1">
      <alignment vertical="center"/>
    </xf>
    <xf numFmtId="0" fontId="22" fillId="0" borderId="2" xfId="0" applyFont="1" applyBorder="1" applyAlignment="1">
      <alignment vertical="center"/>
    </xf>
    <xf numFmtId="0" fontId="18" fillId="5" borderId="3" xfId="0" applyFont="1" applyFill="1" applyBorder="1" applyAlignment="1" applyProtection="1">
      <alignment horizontal="center" vertical="center"/>
      <protection hidden="1"/>
    </xf>
    <xf numFmtId="0" fontId="18" fillId="5" borderId="4" xfId="0" applyFont="1" applyFill="1" applyBorder="1" applyAlignment="1" applyProtection="1">
      <alignment horizontal="center" vertical="center"/>
      <protection hidden="1"/>
    </xf>
    <xf numFmtId="0" fontId="18" fillId="5" borderId="2" xfId="0" applyFont="1" applyFill="1" applyBorder="1" applyAlignment="1" applyProtection="1">
      <alignment horizontal="center" vertical="center"/>
      <protection hidden="1"/>
    </xf>
    <xf numFmtId="0" fontId="21" fillId="3" borderId="15" xfId="0" applyFont="1" applyFill="1" applyBorder="1" applyAlignment="1" applyProtection="1">
      <alignment horizontal="center" vertical="center"/>
      <protection hidden="1"/>
    </xf>
    <xf numFmtId="0" fontId="21" fillId="3" borderId="0" xfId="0" applyFont="1" applyFill="1" applyBorder="1" applyAlignment="1" applyProtection="1">
      <alignment horizontal="center" vertical="center"/>
      <protection hidden="1"/>
    </xf>
    <xf numFmtId="0" fontId="21" fillId="3" borderId="13" xfId="0" applyFont="1" applyFill="1" applyBorder="1" applyAlignment="1" applyProtection="1">
      <alignment horizontal="center" vertical="center"/>
      <protection hidden="1"/>
    </xf>
    <xf numFmtId="0" fontId="67" fillId="0" borderId="4" xfId="0" applyFont="1" applyBorder="1" applyAlignment="1">
      <alignment horizontal="center"/>
    </xf>
    <xf numFmtId="0" fontId="67" fillId="0" borderId="2" xfId="0" applyFont="1" applyBorder="1" applyAlignment="1">
      <alignment horizontal="center"/>
    </xf>
    <xf numFmtId="0" fontId="17" fillId="42" borderId="3" xfId="0" applyFont="1" applyFill="1" applyBorder="1" applyAlignment="1">
      <alignment horizontal="center" vertical="center"/>
    </xf>
    <xf numFmtId="0" fontId="17" fillId="42" borderId="4" xfId="0" applyFont="1" applyFill="1" applyBorder="1" applyAlignment="1">
      <alignment horizontal="center" vertical="center"/>
    </xf>
    <xf numFmtId="0" fontId="17" fillId="42" borderId="2" xfId="0" applyFont="1" applyFill="1" applyBorder="1" applyAlignment="1">
      <alignment horizontal="center" vertical="center"/>
    </xf>
    <xf numFmtId="0" fontId="17" fillId="42" borderId="3" xfId="0" applyFont="1" applyFill="1" applyBorder="1" applyAlignment="1">
      <alignment horizontal="right" wrapText="1"/>
    </xf>
    <xf numFmtId="0" fontId="17" fillId="42" borderId="4" xfId="0" applyFont="1" applyFill="1" applyBorder="1" applyAlignment="1">
      <alignment horizontal="right" wrapText="1"/>
    </xf>
    <xf numFmtId="0" fontId="17" fillId="42" borderId="2" xfId="0" applyFont="1" applyFill="1" applyBorder="1" applyAlignment="1">
      <alignment horizontal="right" wrapText="1"/>
    </xf>
    <xf numFmtId="0" fontId="67" fillId="0" borderId="4" xfId="0" applyFont="1" applyBorder="1" applyAlignment="1">
      <alignment horizontal="center" wrapText="1"/>
    </xf>
    <xf numFmtId="0" fontId="67" fillId="0" borderId="2" xfId="0" applyFont="1" applyBorder="1" applyAlignment="1">
      <alignment horizontal="center" wrapText="1"/>
    </xf>
    <xf numFmtId="0" fontId="17" fillId="42" borderId="18" xfId="0" applyFont="1" applyFill="1" applyBorder="1" applyAlignment="1">
      <alignment horizontal="center" vertical="center" wrapText="1"/>
    </xf>
    <xf numFmtId="0" fontId="17" fillId="42" borderId="6" xfId="0" applyFont="1" applyFill="1" applyBorder="1" applyAlignment="1">
      <alignment horizontal="center" vertical="center" wrapText="1"/>
    </xf>
    <xf numFmtId="0" fontId="8" fillId="42" borderId="3" xfId="0" applyFont="1" applyFill="1" applyBorder="1" applyAlignment="1">
      <alignment horizontal="center" vertical="center" wrapText="1"/>
    </xf>
    <xf numFmtId="0" fontId="8" fillId="42" borderId="4" xfId="0" applyFont="1" applyFill="1" applyBorder="1" applyAlignment="1">
      <alignment horizontal="center" vertical="center" wrapText="1"/>
    </xf>
    <xf numFmtId="0" fontId="8" fillId="42" borderId="2" xfId="0" applyFont="1" applyFill="1" applyBorder="1" applyAlignment="1">
      <alignment horizontal="center" vertical="center" wrapText="1"/>
    </xf>
    <xf numFmtId="0" fontId="67" fillId="42" borderId="3" xfId="0" applyFont="1" applyFill="1" applyBorder="1" applyAlignment="1">
      <alignment horizontal="center" vertical="center"/>
    </xf>
    <xf numFmtId="0" fontId="67" fillId="42" borderId="4" xfId="0" applyFont="1" applyFill="1" applyBorder="1" applyAlignment="1">
      <alignment horizontal="center" vertical="center"/>
    </xf>
    <xf numFmtId="0" fontId="67" fillId="42" borderId="2" xfId="0" applyFont="1" applyFill="1" applyBorder="1" applyAlignment="1">
      <alignment horizontal="center" vertical="center"/>
    </xf>
    <xf numFmtId="0" fontId="67" fillId="42" borderId="18" xfId="0" applyFont="1" applyFill="1" applyBorder="1" applyAlignment="1">
      <alignment horizontal="left" vertical="top"/>
    </xf>
    <xf numFmtId="0" fontId="67" fillId="42" borderId="6" xfId="0" applyFont="1" applyFill="1" applyBorder="1" applyAlignment="1">
      <alignment horizontal="left" vertical="top"/>
    </xf>
    <xf numFmtId="0" fontId="17" fillId="42" borderId="17" xfId="0" applyFont="1" applyFill="1" applyBorder="1" applyAlignment="1">
      <alignment horizontal="left" vertical="center"/>
    </xf>
    <xf numFmtId="0" fontId="17" fillId="42" borderId="12" xfId="0" applyFont="1" applyFill="1" applyBorder="1" applyAlignment="1">
      <alignment horizontal="left" vertical="center"/>
    </xf>
    <xf numFmtId="0" fontId="17" fillId="42" borderId="16" xfId="0" applyFont="1" applyFill="1" applyBorder="1" applyAlignment="1">
      <alignment horizontal="left" vertical="center"/>
    </xf>
    <xf numFmtId="0" fontId="17" fillId="42" borderId="14" xfId="0" applyFont="1" applyFill="1" applyBorder="1" applyAlignment="1">
      <alignment horizontal="left" vertical="center"/>
    </xf>
    <xf numFmtId="0" fontId="17" fillId="42" borderId="15" xfId="0" applyFont="1" applyFill="1" applyBorder="1" applyAlignment="1">
      <alignment horizontal="left" vertical="center"/>
    </xf>
    <xf numFmtId="0" fontId="17" fillId="42" borderId="13" xfId="0" applyFont="1" applyFill="1" applyBorder="1" applyAlignment="1">
      <alignment horizontal="left" vertical="center"/>
    </xf>
    <xf numFmtId="0" fontId="17" fillId="42" borderId="16" xfId="0" applyFont="1" applyFill="1" applyBorder="1" applyAlignment="1">
      <alignment horizontal="right" wrapText="1"/>
    </xf>
    <xf numFmtId="0" fontId="17" fillId="42" borderId="5" xfId="0" applyFont="1" applyFill="1" applyBorder="1" applyAlignment="1">
      <alignment horizontal="right" wrapText="1"/>
    </xf>
    <xf numFmtId="0" fontId="17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183" fontId="9" fillId="42" borderId="15" xfId="0" applyNumberFormat="1" applyFont="1" applyFill="1" applyBorder="1" applyAlignment="1">
      <alignment horizontal="right" vertical="top" wrapText="1"/>
    </xf>
    <xf numFmtId="183" fontId="9" fillId="42" borderId="13" xfId="0" applyNumberFormat="1" applyFont="1" applyFill="1" applyBorder="1" applyAlignment="1">
      <alignment horizontal="right" vertical="top" wrapText="1"/>
    </xf>
    <xf numFmtId="183" fontId="9" fillId="42" borderId="16" xfId="0" applyNumberFormat="1" applyFont="1" applyFill="1" applyBorder="1" applyAlignment="1">
      <alignment horizontal="right" vertical="top" wrapText="1"/>
    </xf>
    <xf numFmtId="183" fontId="9" fillId="42" borderId="14" xfId="0" applyNumberFormat="1" applyFont="1" applyFill="1" applyBorder="1" applyAlignment="1">
      <alignment horizontal="right" vertical="top" wrapText="1"/>
    </xf>
    <xf numFmtId="0" fontId="17" fillId="0" borderId="3" xfId="0" applyFont="1" applyBorder="1" applyAlignment="1">
      <alignment horizontal="right"/>
    </xf>
    <xf numFmtId="0" fontId="17" fillId="0" borderId="4" xfId="0" applyFont="1" applyBorder="1" applyAlignment="1">
      <alignment horizontal="right"/>
    </xf>
    <xf numFmtId="0" fontId="17" fillId="0" borderId="2" xfId="0" applyFont="1" applyBorder="1" applyAlignment="1">
      <alignment horizontal="right"/>
    </xf>
    <xf numFmtId="0" fontId="17" fillId="42" borderId="11" xfId="0" applyFont="1" applyFill="1" applyBorder="1" applyAlignment="1">
      <alignment horizontal="left" vertical="center"/>
    </xf>
    <xf numFmtId="0" fontId="17" fillId="42" borderId="5" xfId="0" applyFont="1" applyFill="1" applyBorder="1" applyAlignment="1">
      <alignment horizontal="left" vertical="center"/>
    </xf>
    <xf numFmtId="0" fontId="13" fillId="42" borderId="12" xfId="0" applyFont="1" applyFill="1" applyBorder="1" applyAlignment="1">
      <alignment horizontal="center" vertical="center"/>
    </xf>
    <xf numFmtId="0" fontId="13" fillId="42" borderId="14" xfId="0" applyFont="1" applyFill="1" applyBorder="1" applyAlignment="1">
      <alignment horizontal="center" vertical="center"/>
    </xf>
    <xf numFmtId="0" fontId="17" fillId="0" borderId="17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7" fillId="0" borderId="14" xfId="0" applyFont="1" applyBorder="1" applyAlignment="1">
      <alignment horizontal="center"/>
    </xf>
    <xf numFmtId="183" fontId="9" fillId="42" borderId="17" xfId="0" applyNumberFormat="1" applyFont="1" applyFill="1" applyBorder="1" applyAlignment="1">
      <alignment horizontal="right" vertical="top" wrapText="1"/>
    </xf>
    <xf numFmtId="183" fontId="9" fillId="42" borderId="12" xfId="0" applyNumberFormat="1" applyFont="1" applyFill="1" applyBorder="1" applyAlignment="1">
      <alignment horizontal="right" vertical="top" wrapText="1"/>
    </xf>
    <xf numFmtId="0" fontId="9" fillId="42" borderId="0" xfId="0" applyFont="1" applyFill="1" applyBorder="1" applyAlignment="1">
      <alignment horizontal="left" vertical="top"/>
    </xf>
    <xf numFmtId="0" fontId="9" fillId="42" borderId="13" xfId="0" applyFont="1" applyFill="1" applyBorder="1" applyAlignment="1">
      <alignment horizontal="left" vertical="top"/>
    </xf>
    <xf numFmtId="0" fontId="9" fillId="42" borderId="5" xfId="0" applyFont="1" applyFill="1" applyBorder="1" applyAlignment="1">
      <alignment horizontal="left" vertical="top"/>
    </xf>
    <xf numFmtId="0" fontId="9" fillId="42" borderId="14" xfId="0" applyFont="1" applyFill="1" applyBorder="1" applyAlignment="1">
      <alignment horizontal="left" vertical="top"/>
    </xf>
    <xf numFmtId="184" fontId="17" fillId="42" borderId="3" xfId="0" applyNumberFormat="1" applyFont="1" applyFill="1" applyBorder="1" applyAlignment="1">
      <alignment horizontal="right"/>
    </xf>
    <xf numFmtId="184" fontId="17" fillId="42" borderId="4" xfId="0" applyNumberFormat="1" applyFont="1" applyFill="1" applyBorder="1" applyAlignment="1">
      <alignment horizontal="right"/>
    </xf>
    <xf numFmtId="184" fontId="17" fillId="42" borderId="2" xfId="0" applyNumberFormat="1" applyFont="1" applyFill="1" applyBorder="1" applyAlignment="1">
      <alignment horizontal="right"/>
    </xf>
    <xf numFmtId="0" fontId="17" fillId="42" borderId="11" xfId="0" applyFont="1" applyFill="1" applyBorder="1" applyAlignment="1">
      <alignment horizontal="right"/>
    </xf>
    <xf numFmtId="0" fontId="17" fillId="42" borderId="4" xfId="0" applyFont="1" applyFill="1" applyBorder="1" applyAlignment="1">
      <alignment horizontal="right"/>
    </xf>
    <xf numFmtId="0" fontId="17" fillId="42" borderId="2" xfId="0" applyFont="1" applyFill="1" applyBorder="1" applyAlignment="1">
      <alignment horizontal="right"/>
    </xf>
    <xf numFmtId="0" fontId="9" fillId="42" borderId="11" xfId="0" applyFont="1" applyFill="1" applyBorder="1" applyAlignment="1">
      <alignment horizontal="left" vertical="top"/>
    </xf>
    <xf numFmtId="0" fontId="9" fillId="42" borderId="12" xfId="0" applyFont="1" applyFill="1" applyBorder="1" applyAlignment="1">
      <alignment horizontal="left" vertical="top"/>
    </xf>
    <xf numFmtId="0" fontId="17" fillId="0" borderId="16" xfId="0" applyFont="1" applyBorder="1" applyAlignment="1">
      <alignment horizontal="right"/>
    </xf>
    <xf numFmtId="0" fontId="17" fillId="0" borderId="5" xfId="0" applyFont="1" applyBorder="1" applyAlignment="1">
      <alignment horizontal="right"/>
    </xf>
    <xf numFmtId="0" fontId="68" fillId="42" borderId="18" xfId="0" applyFont="1" applyFill="1" applyBorder="1" applyAlignment="1">
      <alignment horizontal="center" vertical="top" wrapText="1"/>
    </xf>
    <xf numFmtId="0" fontId="68" fillId="42" borderId="6" xfId="0" applyFont="1" applyFill="1" applyBorder="1" applyAlignment="1">
      <alignment horizontal="center" vertical="top" wrapText="1"/>
    </xf>
    <xf numFmtId="0" fontId="17" fillId="42" borderId="12" xfId="0" applyFont="1" applyFill="1" applyBorder="1" applyAlignment="1">
      <alignment horizontal="center" vertical="top" wrapText="1"/>
    </xf>
    <xf numFmtId="0" fontId="17" fillId="42" borderId="14" xfId="0" applyFont="1" applyFill="1" applyBorder="1" applyAlignment="1">
      <alignment horizontal="center" vertical="top" wrapText="1"/>
    </xf>
    <xf numFmtId="0" fontId="17" fillId="0" borderId="18" xfId="0" applyFont="1" applyBorder="1" applyAlignment="1">
      <alignment horizontal="center" vertical="top" wrapText="1"/>
    </xf>
    <xf numFmtId="0" fontId="17" fillId="0" borderId="6" xfId="0" applyFont="1" applyBorder="1" applyAlignment="1">
      <alignment horizontal="center" vertical="top" wrapText="1"/>
    </xf>
    <xf numFmtId="0" fontId="67" fillId="42" borderId="16" xfId="0" applyFont="1" applyFill="1" applyBorder="1" applyAlignment="1">
      <alignment horizontal="left" vertical="top" wrapText="1"/>
    </xf>
    <xf numFmtId="0" fontId="67" fillId="42" borderId="5" xfId="0" applyFont="1" applyFill="1" applyBorder="1" applyAlignment="1">
      <alignment horizontal="left" vertical="top" wrapText="1"/>
    </xf>
    <xf numFmtId="0" fontId="67" fillId="42" borderId="14" xfId="0" applyFont="1" applyFill="1" applyBorder="1" applyAlignment="1">
      <alignment horizontal="left" vertical="top" wrapText="1"/>
    </xf>
    <xf numFmtId="0" fontId="17" fillId="42" borderId="0" xfId="0" applyFont="1" applyFill="1" applyBorder="1" applyAlignment="1">
      <alignment horizontal="left" vertical="center"/>
    </xf>
    <xf numFmtId="0" fontId="17" fillId="42" borderId="3" xfId="0" applyFont="1" applyFill="1" applyBorder="1" applyAlignment="1">
      <alignment horizontal="center" vertical="center" wrapText="1"/>
    </xf>
    <xf numFmtId="0" fontId="17" fillId="42" borderId="2" xfId="0" applyFont="1" applyFill="1" applyBorder="1" applyAlignment="1">
      <alignment horizontal="center" vertical="center" wrapText="1"/>
    </xf>
    <xf numFmtId="0" fontId="17" fillId="0" borderId="18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0" fontId="17" fillId="0" borderId="18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7" fillId="42" borderId="3" xfId="0" applyFont="1" applyFill="1" applyBorder="1" applyAlignment="1">
      <alignment horizontal="right"/>
    </xf>
    <xf numFmtId="0" fontId="17" fillId="42" borderId="18" xfId="0" applyFont="1" applyFill="1" applyBorder="1" applyAlignment="1">
      <alignment horizontal="center" vertical="top" wrapText="1"/>
    </xf>
    <xf numFmtId="0" fontId="17" fillId="42" borderId="6" xfId="0" applyFont="1" applyFill="1" applyBorder="1" applyAlignment="1">
      <alignment horizontal="center" vertical="top" wrapText="1"/>
    </xf>
    <xf numFmtId="39" fontId="22" fillId="49" borderId="18" xfId="30" applyFont="1" applyFill="1" applyBorder="1" applyAlignment="1">
      <alignment horizontal="center" vertical="center"/>
    </xf>
    <xf numFmtId="39" fontId="22" fillId="49" borderId="7" xfId="30" applyFont="1" applyFill="1" applyBorder="1" applyAlignment="1">
      <alignment horizontal="center" vertical="center"/>
    </xf>
    <xf numFmtId="39" fontId="22" fillId="49" borderId="6" xfId="30" applyFont="1" applyFill="1" applyBorder="1" applyAlignment="1">
      <alignment horizontal="center" vertical="center"/>
    </xf>
    <xf numFmtId="192" fontId="41" fillId="46" borderId="1" xfId="1" applyNumberFormat="1" applyFont="1" applyFill="1" applyBorder="1" applyAlignment="1">
      <alignment horizontal="center" vertical="center"/>
    </xf>
    <xf numFmtId="192" fontId="41" fillId="3" borderId="1" xfId="1" applyNumberFormat="1" applyFont="1" applyFill="1" applyBorder="1" applyAlignment="1">
      <alignment horizontal="center" vertical="center"/>
    </xf>
    <xf numFmtId="39" fontId="12" fillId="48" borderId="46" xfId="30" applyFont="1" applyFill="1" applyBorder="1" applyAlignment="1">
      <alignment horizontal="center" vertical="center"/>
    </xf>
    <xf numFmtId="39" fontId="12" fillId="48" borderId="49" xfId="30" applyFont="1" applyFill="1" applyBorder="1" applyAlignment="1">
      <alignment horizontal="center" vertical="center"/>
    </xf>
    <xf numFmtId="39" fontId="12" fillId="48" borderId="50" xfId="30" applyFont="1" applyFill="1" applyBorder="1" applyAlignment="1">
      <alignment horizontal="center" vertical="center"/>
    </xf>
    <xf numFmtId="39" fontId="12" fillId="48" borderId="47" xfId="30" applyFont="1" applyFill="1" applyBorder="1" applyAlignment="1">
      <alignment horizontal="center" vertical="center"/>
    </xf>
    <xf numFmtId="39" fontId="12" fillId="48" borderId="48" xfId="30" applyFont="1" applyFill="1" applyBorder="1" applyAlignment="1">
      <alignment horizontal="center" vertical="center"/>
    </xf>
    <xf numFmtId="39" fontId="12" fillId="48" borderId="1" xfId="30" applyFont="1" applyFill="1" applyBorder="1" applyAlignment="1">
      <alignment horizontal="center" vertical="center"/>
    </xf>
    <xf numFmtId="39" fontId="12" fillId="48" borderId="1" xfId="30" applyFont="1" applyFill="1" applyBorder="1" applyAlignment="1">
      <alignment horizontal="center" vertical="center" wrapText="1"/>
    </xf>
    <xf numFmtId="39" fontId="8" fillId="0" borderId="35" xfId="130" applyFont="1" applyBorder="1" applyAlignment="1">
      <alignment horizontal="center" vertical="center"/>
    </xf>
    <xf numFmtId="39" fontId="8" fillId="0" borderId="33" xfId="130" applyFont="1" applyBorder="1" applyAlignment="1">
      <alignment horizontal="center" vertical="center"/>
    </xf>
    <xf numFmtId="39" fontId="8" fillId="0" borderId="36" xfId="130" applyFont="1" applyBorder="1" applyAlignment="1">
      <alignment horizontal="center" vertical="center"/>
    </xf>
    <xf numFmtId="39" fontId="8" fillId="0" borderId="37" xfId="130" applyFont="1" applyBorder="1" applyAlignment="1">
      <alignment horizontal="center" vertical="center"/>
    </xf>
    <xf numFmtId="39" fontId="8" fillId="0" borderId="5" xfId="130" applyFont="1" applyBorder="1" applyAlignment="1">
      <alignment horizontal="center" vertical="center"/>
    </xf>
    <xf numFmtId="39" fontId="8" fillId="0" borderId="38" xfId="130" applyFont="1" applyBorder="1" applyAlignment="1">
      <alignment horizontal="center" vertical="center"/>
    </xf>
    <xf numFmtId="165" fontId="8" fillId="0" borderId="15" xfId="0" applyNumberFormat="1" applyFont="1" applyFill="1" applyBorder="1" applyAlignment="1">
      <alignment horizontal="center" vertical="center"/>
    </xf>
    <xf numFmtId="165" fontId="8" fillId="0" borderId="13" xfId="0" applyNumberFormat="1" applyFont="1" applyFill="1" applyBorder="1" applyAlignment="1">
      <alignment horizontal="center" vertical="center"/>
    </xf>
    <xf numFmtId="165" fontId="8" fillId="0" borderId="16" xfId="0" applyNumberFormat="1" applyFont="1" applyFill="1" applyBorder="1" applyAlignment="1">
      <alignment horizontal="center" vertical="center"/>
    </xf>
    <xf numFmtId="165" fontId="8" fillId="0" borderId="14" xfId="0" applyNumberFormat="1" applyFont="1" applyFill="1" applyBorder="1" applyAlignment="1">
      <alignment horizontal="center" vertical="center"/>
    </xf>
    <xf numFmtId="165" fontId="8" fillId="0" borderId="17" xfId="0" applyNumberFormat="1" applyFont="1" applyFill="1" applyBorder="1" applyAlignment="1">
      <alignment horizontal="center" vertical="center"/>
    </xf>
    <xf numFmtId="165" fontId="8" fillId="0" borderId="12" xfId="0" applyNumberFormat="1" applyFont="1" applyFill="1" applyBorder="1" applyAlignment="1">
      <alignment horizontal="center" vertical="center"/>
    </xf>
    <xf numFmtId="0" fontId="17" fillId="0" borderId="18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17" fontId="17" fillId="0" borderId="16" xfId="0" applyNumberFormat="1" applyFont="1" applyFill="1" applyBorder="1" applyAlignment="1" applyProtection="1">
      <alignment horizontal="center" vertical="center" wrapText="1"/>
      <protection locked="0"/>
    </xf>
    <xf numFmtId="17" fontId="17" fillId="0" borderId="14" xfId="0" applyNumberFormat="1" applyFont="1" applyFill="1" applyBorder="1" applyAlignment="1" applyProtection="1">
      <alignment horizontal="center" vertical="center" wrapText="1"/>
      <protection locked="0"/>
    </xf>
    <xf numFmtId="39" fontId="40" fillId="0" borderId="0" xfId="130" applyFont="1" applyAlignment="1">
      <alignment horizontal="center"/>
    </xf>
    <xf numFmtId="0" fontId="75" fillId="45" borderId="16" xfId="0" applyFont="1" applyFill="1" applyBorder="1" applyAlignment="1">
      <alignment horizontal="center" vertical="center"/>
    </xf>
    <xf numFmtId="0" fontId="75" fillId="45" borderId="5" xfId="0" applyFont="1" applyFill="1" applyBorder="1" applyAlignment="1">
      <alignment horizontal="center" vertical="center"/>
    </xf>
    <xf numFmtId="0" fontId="75" fillId="45" borderId="14" xfId="0" applyFont="1" applyFill="1" applyBorder="1" applyAlignment="1">
      <alignment horizontal="center" vertical="center"/>
    </xf>
    <xf numFmtId="39" fontId="17" fillId="0" borderId="18" xfId="130" applyFont="1" applyFill="1" applyBorder="1" applyAlignment="1">
      <alignment horizontal="center" vertical="center" wrapText="1"/>
    </xf>
    <xf numFmtId="39" fontId="17" fillId="0" borderId="6" xfId="130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39" fontId="75" fillId="6" borderId="18" xfId="30" applyFont="1" applyFill="1" applyBorder="1" applyAlignment="1" applyProtection="1">
      <alignment horizontal="center" vertical="center" wrapText="1"/>
      <protection hidden="1"/>
    </xf>
    <xf numFmtId="39" fontId="75" fillId="6" borderId="6" xfId="30" applyFont="1" applyFill="1" applyBorder="1" applyAlignment="1" applyProtection="1">
      <alignment horizontal="center" vertical="center" wrapText="1"/>
      <protection hidden="1"/>
    </xf>
    <xf numFmtId="39" fontId="12" fillId="48" borderId="53" xfId="30" applyFont="1" applyFill="1" applyBorder="1" applyAlignment="1">
      <alignment horizontal="center" vertical="center"/>
    </xf>
    <xf numFmtId="173" fontId="74" fillId="3" borderId="1" xfId="3" applyNumberFormat="1" applyFont="1" applyFill="1" applyBorder="1" applyAlignment="1">
      <alignment horizontal="center" vertical="center"/>
    </xf>
    <xf numFmtId="39" fontId="12" fillId="48" borderId="12" xfId="30" applyFont="1" applyFill="1" applyBorder="1" applyAlignment="1">
      <alignment horizontal="center" vertical="center"/>
    </xf>
    <xf numFmtId="39" fontId="12" fillId="48" borderId="13" xfId="30" applyFont="1" applyFill="1" applyBorder="1" applyAlignment="1">
      <alignment horizontal="center" vertical="center"/>
    </xf>
    <xf numFmtId="173" fontId="41" fillId="3" borderId="1" xfId="3" applyNumberFormat="1" applyFont="1" applyFill="1" applyBorder="1" applyAlignment="1">
      <alignment horizontal="center" vertical="center"/>
    </xf>
    <xf numFmtId="170" fontId="85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88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90" fillId="0" borderId="0" xfId="0" applyFont="1" applyAlignment="1">
      <alignment horizontal="center"/>
    </xf>
  </cellXfs>
  <cellStyles count="133">
    <cellStyle name="20% - Ênfase1" xfId="103" builtinId="30" customBuiltin="1"/>
    <cellStyle name="20% - Ênfase2" xfId="107" builtinId="34" customBuiltin="1"/>
    <cellStyle name="20% - Ênfase3" xfId="111" builtinId="38" customBuiltin="1"/>
    <cellStyle name="20% - Ênfase4" xfId="115" builtinId="42" customBuiltin="1"/>
    <cellStyle name="20% - Ênfase5" xfId="119" builtinId="46" customBuiltin="1"/>
    <cellStyle name="20% - Ênfase6" xfId="123" builtinId="50" customBuiltin="1"/>
    <cellStyle name="40% - Ênfase1" xfId="104" builtinId="31" customBuiltin="1"/>
    <cellStyle name="40% - Ênfase2" xfId="108" builtinId="35" customBuiltin="1"/>
    <cellStyle name="40% - Ênfase3" xfId="112" builtinId="39" customBuiltin="1"/>
    <cellStyle name="40% - Ênfase4" xfId="116" builtinId="43" customBuiltin="1"/>
    <cellStyle name="40% - Ênfase5" xfId="120" builtinId="47" customBuiltin="1"/>
    <cellStyle name="40% - Ênfase6" xfId="124" builtinId="51" customBuiltin="1"/>
    <cellStyle name="60% - Ênfase1" xfId="105" builtinId="32" customBuiltin="1"/>
    <cellStyle name="60% - Ênfase2" xfId="109" builtinId="36" customBuiltin="1"/>
    <cellStyle name="60% - Ênfase3" xfId="113" builtinId="40" customBuiltin="1"/>
    <cellStyle name="60% - Ênfase4" xfId="117" builtinId="44" customBuiltin="1"/>
    <cellStyle name="60% - Ênfase5" xfId="121" builtinId="48" customBuiltin="1"/>
    <cellStyle name="60% - Ênfase6" xfId="125" builtinId="52" customBuiltin="1"/>
    <cellStyle name="Bom" xfId="90" builtinId="26" customBuiltin="1"/>
    <cellStyle name="Cálculo" xfId="95" builtinId="22" customBuiltin="1"/>
    <cellStyle name="Célula de Verificação" xfId="97" builtinId="23" customBuiltin="1"/>
    <cellStyle name="Célula Vinculada" xfId="96" builtinId="24" customBuiltin="1"/>
    <cellStyle name="Ênfase1" xfId="102" builtinId="29" customBuiltin="1"/>
    <cellStyle name="Ênfase2" xfId="106" builtinId="33" customBuiltin="1"/>
    <cellStyle name="Ênfase3" xfId="110" builtinId="37" customBuiltin="1"/>
    <cellStyle name="Ênfase4" xfId="114" builtinId="41" customBuiltin="1"/>
    <cellStyle name="Ênfase5" xfId="118" builtinId="45" customBuiltin="1"/>
    <cellStyle name="Ênfase6" xfId="122" builtinId="49" customBuiltin="1"/>
    <cellStyle name="Entrada" xfId="93" builtinId="20" customBuiltin="1"/>
    <cellStyle name="Excel Built-in Normal" xfId="84" xr:uid="{00000000-0005-0000-0000-00001D000000}"/>
    <cellStyle name="Moeda" xfId="2" builtinId="4"/>
    <cellStyle name="Moeda 2" xfId="5" xr:uid="{00000000-0005-0000-0000-000020000000}"/>
    <cellStyle name="Moeda 3" xfId="6" xr:uid="{00000000-0005-0000-0000-000021000000}"/>
    <cellStyle name="Moeda 3 2" xfId="7" xr:uid="{00000000-0005-0000-0000-000022000000}"/>
    <cellStyle name="Moeda 4" xfId="8" xr:uid="{00000000-0005-0000-0000-000023000000}"/>
    <cellStyle name="Moeda 5" xfId="9" xr:uid="{00000000-0005-0000-0000-000024000000}"/>
    <cellStyle name="Moeda 6" xfId="80" xr:uid="{00000000-0005-0000-0000-000025000000}"/>
    <cellStyle name="Moeda 7" xfId="4" xr:uid="{00000000-0005-0000-0000-000026000000}"/>
    <cellStyle name="Neutro" xfId="92" builtinId="28" customBuiltin="1"/>
    <cellStyle name="Normal" xfId="0" builtinId="0"/>
    <cellStyle name="Normal 12" xfId="10" xr:uid="{00000000-0005-0000-0000-000029000000}"/>
    <cellStyle name="Normal 13 2" xfId="11" xr:uid="{00000000-0005-0000-0000-00002A000000}"/>
    <cellStyle name="Normal 14 2 2" xfId="12" xr:uid="{00000000-0005-0000-0000-00002B000000}"/>
    <cellStyle name="Normal 17" xfId="13" xr:uid="{00000000-0005-0000-0000-00002C000000}"/>
    <cellStyle name="Normal 2" xfId="14" xr:uid="{00000000-0005-0000-0000-00002D000000}"/>
    <cellStyle name="Normal 2 2" xfId="15" xr:uid="{00000000-0005-0000-0000-00002E000000}"/>
    <cellStyle name="Normal 2 2 2" xfId="16" xr:uid="{00000000-0005-0000-0000-00002F000000}"/>
    <cellStyle name="Normal 2 2 3" xfId="17" xr:uid="{00000000-0005-0000-0000-000030000000}"/>
    <cellStyle name="Normal 2 2 3 2" xfId="128" xr:uid="{00000000-0005-0000-0000-000031000000}"/>
    <cellStyle name="Normal 2 3" xfId="18" xr:uid="{00000000-0005-0000-0000-000032000000}"/>
    <cellStyle name="Normal 2 3 2" xfId="19" xr:uid="{00000000-0005-0000-0000-000033000000}"/>
    <cellStyle name="Normal 2 5" xfId="20" xr:uid="{00000000-0005-0000-0000-000034000000}"/>
    <cellStyle name="Normal 28" xfId="21" xr:uid="{00000000-0005-0000-0000-000035000000}"/>
    <cellStyle name="Normal 3" xfId="22" xr:uid="{00000000-0005-0000-0000-000036000000}"/>
    <cellStyle name="Normal 3 2" xfId="23" xr:uid="{00000000-0005-0000-0000-000037000000}"/>
    <cellStyle name="Normal 3 2 2" xfId="24" xr:uid="{00000000-0005-0000-0000-000038000000}"/>
    <cellStyle name="Normal 3 3" xfId="25" xr:uid="{00000000-0005-0000-0000-000039000000}"/>
    <cellStyle name="Normal 3 3 2" xfId="26" xr:uid="{00000000-0005-0000-0000-00003A000000}"/>
    <cellStyle name="Normal 3 4" xfId="27" xr:uid="{00000000-0005-0000-0000-00003B000000}"/>
    <cellStyle name="Normal 3 4 2" xfId="28" xr:uid="{00000000-0005-0000-0000-00003C000000}"/>
    <cellStyle name="Normal 3 5" xfId="29" xr:uid="{00000000-0005-0000-0000-00003D000000}"/>
    <cellStyle name="Normal 3 6" xfId="126" xr:uid="{00000000-0005-0000-0000-00003E000000}"/>
    <cellStyle name="Normal 3 7" xfId="127" xr:uid="{00000000-0005-0000-0000-00003F000000}"/>
    <cellStyle name="Normal 4" xfId="30" xr:uid="{00000000-0005-0000-0000-000040000000}"/>
    <cellStyle name="Normal 4 2" xfId="31" xr:uid="{00000000-0005-0000-0000-000041000000}"/>
    <cellStyle name="Normal 4 3" xfId="32" xr:uid="{00000000-0005-0000-0000-000042000000}"/>
    <cellStyle name="Normal 4 3 2" xfId="33" xr:uid="{00000000-0005-0000-0000-000043000000}"/>
    <cellStyle name="Normal 4 4" xfId="34" xr:uid="{00000000-0005-0000-0000-000044000000}"/>
    <cellStyle name="Normal 4 4 2" xfId="35" xr:uid="{00000000-0005-0000-0000-000045000000}"/>
    <cellStyle name="Normal 4 5" xfId="36" xr:uid="{00000000-0005-0000-0000-000046000000}"/>
    <cellStyle name="Normal 5" xfId="37" xr:uid="{00000000-0005-0000-0000-000047000000}"/>
    <cellStyle name="Normal 5 2" xfId="38" xr:uid="{00000000-0005-0000-0000-000048000000}"/>
    <cellStyle name="Normal 5 3" xfId="130" xr:uid="{00000000-0005-0000-0000-000049000000}"/>
    <cellStyle name="Normal 6" xfId="39" xr:uid="{00000000-0005-0000-0000-00004A000000}"/>
    <cellStyle name="Normal 7" xfId="40" xr:uid="{00000000-0005-0000-0000-00004B000000}"/>
    <cellStyle name="Normal 8" xfId="81" xr:uid="{00000000-0005-0000-0000-00004C000000}"/>
    <cellStyle name="Normal_PATO_471_MAI_2011sicrojan2011" xfId="41" xr:uid="{00000000-0005-0000-0000-00004D000000}"/>
    <cellStyle name="Nota" xfId="99" builtinId="10" customBuiltin="1"/>
    <cellStyle name="Porcentagem" xfId="3" builtinId="5"/>
    <cellStyle name="Porcentagem 10" xfId="42" xr:uid="{00000000-0005-0000-0000-000050000000}"/>
    <cellStyle name="Porcentagem 2" xfId="43" xr:uid="{00000000-0005-0000-0000-000051000000}"/>
    <cellStyle name="Porcentagem 2 2" xfId="44" xr:uid="{00000000-0005-0000-0000-000052000000}"/>
    <cellStyle name="Porcentagem 2 2 2" xfId="78" xr:uid="{00000000-0005-0000-0000-000053000000}"/>
    <cellStyle name="Porcentagem 2 2 3" xfId="132" xr:uid="{00000000-0005-0000-0000-000054000000}"/>
    <cellStyle name="Porcentagem 2 5" xfId="45" xr:uid="{00000000-0005-0000-0000-000055000000}"/>
    <cellStyle name="Porcentagem 3" xfId="46" xr:uid="{00000000-0005-0000-0000-000056000000}"/>
    <cellStyle name="Porcentagem 3 2" xfId="47" xr:uid="{00000000-0005-0000-0000-000057000000}"/>
    <cellStyle name="Porcentagem 3 3" xfId="129" xr:uid="{00000000-0005-0000-0000-000058000000}"/>
    <cellStyle name="Porcentagem 4" xfId="48" xr:uid="{00000000-0005-0000-0000-000059000000}"/>
    <cellStyle name="Porcentagem 4 2" xfId="49" xr:uid="{00000000-0005-0000-0000-00005A000000}"/>
    <cellStyle name="Porcentagem 5" xfId="50" xr:uid="{00000000-0005-0000-0000-00005B000000}"/>
    <cellStyle name="Porcentagem 5 2" xfId="51" xr:uid="{00000000-0005-0000-0000-00005C000000}"/>
    <cellStyle name="Porcentagem 6" xfId="52" xr:uid="{00000000-0005-0000-0000-00005D000000}"/>
    <cellStyle name="Porcentagem 6 2" xfId="53" xr:uid="{00000000-0005-0000-0000-00005E000000}"/>
    <cellStyle name="Porcentagem 7" xfId="54" xr:uid="{00000000-0005-0000-0000-00005F000000}"/>
    <cellStyle name="Porcentagem 7 2" xfId="55" xr:uid="{00000000-0005-0000-0000-000060000000}"/>
    <cellStyle name="Porcentagem 7 2 2" xfId="56" xr:uid="{00000000-0005-0000-0000-000061000000}"/>
    <cellStyle name="Porcentagem 7 3" xfId="57" xr:uid="{00000000-0005-0000-0000-000062000000}"/>
    <cellStyle name="Porcentagem 7 4" xfId="58" xr:uid="{00000000-0005-0000-0000-000063000000}"/>
    <cellStyle name="Porcentagem 8" xfId="59" xr:uid="{00000000-0005-0000-0000-000064000000}"/>
    <cellStyle name="Porcentagem 9" xfId="79" xr:uid="{00000000-0005-0000-0000-000065000000}"/>
    <cellStyle name="Porcentagem_PATO_471_MAI_2011sicrojan2011" xfId="60" xr:uid="{00000000-0005-0000-0000-000066000000}"/>
    <cellStyle name="Ruim" xfId="91" builtinId="27" customBuiltin="1"/>
    <cellStyle name="Saída" xfId="94" builtinId="21" customBuiltin="1"/>
    <cellStyle name="Separador de milhares 2" xfId="61" xr:uid="{00000000-0005-0000-0000-000068000000}"/>
    <cellStyle name="Separador de milhares 2 2" xfId="62" xr:uid="{00000000-0005-0000-0000-000069000000}"/>
    <cellStyle name="Separador de milhares 7" xfId="63" xr:uid="{00000000-0005-0000-0000-00006A000000}"/>
    <cellStyle name="Separador de milhares 7 2" xfId="83" xr:uid="{00000000-0005-0000-0000-00006B000000}"/>
    <cellStyle name="Separador de milhares_PATO_471_MAI_2011sicrojan2011" xfId="64" xr:uid="{00000000-0005-0000-0000-00006C000000}"/>
    <cellStyle name="Texto de Aviso" xfId="98" builtinId="11" customBuiltin="1"/>
    <cellStyle name="Texto Explicativo" xfId="100" builtinId="53" customBuiltin="1"/>
    <cellStyle name="Título" xfId="85" builtinId="15" customBuiltin="1"/>
    <cellStyle name="Título 1" xfId="86" builtinId="16" customBuiltin="1"/>
    <cellStyle name="Título 1 1" xfId="65" xr:uid="{00000000-0005-0000-0000-000071000000}"/>
    <cellStyle name="Título 1 1 2" xfId="66" xr:uid="{00000000-0005-0000-0000-000072000000}"/>
    <cellStyle name="Título 2" xfId="87" builtinId="17" customBuiltin="1"/>
    <cellStyle name="Título 3" xfId="88" builtinId="18" customBuiltin="1"/>
    <cellStyle name="Título 4" xfId="89" builtinId="19" customBuiltin="1"/>
    <cellStyle name="Total" xfId="101" builtinId="25" customBuiltin="1"/>
    <cellStyle name="Vírgula" xfId="1" builtinId="3"/>
    <cellStyle name="Vírgula 2" xfId="68" xr:uid="{00000000-0005-0000-0000-000078000000}"/>
    <cellStyle name="Vírgula 2 3" xfId="131" xr:uid="{00000000-0005-0000-0000-000079000000}"/>
    <cellStyle name="Vírgula 3" xfId="69" xr:uid="{00000000-0005-0000-0000-00007A000000}"/>
    <cellStyle name="Vírgula 4" xfId="70" xr:uid="{00000000-0005-0000-0000-00007B000000}"/>
    <cellStyle name="Vírgula 4 2" xfId="71" xr:uid="{00000000-0005-0000-0000-00007C000000}"/>
    <cellStyle name="Vírgula 4 3" xfId="72" xr:uid="{00000000-0005-0000-0000-00007D000000}"/>
    <cellStyle name="Vírgula 5" xfId="73" xr:uid="{00000000-0005-0000-0000-00007E000000}"/>
    <cellStyle name="Vírgula 5 2" xfId="74" xr:uid="{00000000-0005-0000-0000-00007F000000}"/>
    <cellStyle name="Vírgula 5 3" xfId="75" xr:uid="{00000000-0005-0000-0000-000080000000}"/>
    <cellStyle name="Vírgula 6" xfId="76" xr:uid="{00000000-0005-0000-0000-000081000000}"/>
    <cellStyle name="Vírgula 7" xfId="77" xr:uid="{00000000-0005-0000-0000-000082000000}"/>
    <cellStyle name="Vírgula 8" xfId="82" xr:uid="{00000000-0005-0000-0000-000083000000}"/>
    <cellStyle name="Vírgula 9" xfId="67" xr:uid="{00000000-0005-0000-0000-00008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8</xdr:row>
      <xdr:rowOff>19050</xdr:rowOff>
    </xdr:to>
    <xdr:sp macro="" textlink="">
      <xdr:nvSpPr>
        <xdr:cNvPr id="12291" name="AutoShape 3" descr="Home — Laboratório de Pavimentação - LAPAV | UFRGS">
          <a:extLst>
            <a:ext uri="{FF2B5EF4-FFF2-40B4-BE49-F238E27FC236}">
              <a16:creationId xmlns:a16="http://schemas.microsoft.com/office/drawing/2014/main" id="{00000000-0008-0000-0000-000003300000}"/>
            </a:ext>
          </a:extLst>
        </xdr:cNvPr>
        <xdr:cNvSpPr>
          <a:spLocks noChangeAspect="1" noChangeArrowheads="1"/>
        </xdr:cNvSpPr>
      </xdr:nvSpPr>
      <xdr:spPr bwMode="auto">
        <a:xfrm>
          <a:off x="1971675" y="933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</xdr:row>
      <xdr:rowOff>124732</xdr:rowOff>
    </xdr:from>
    <xdr:to>
      <xdr:col>3</xdr:col>
      <xdr:colOff>377656</xdr:colOff>
      <xdr:row>7</xdr:row>
      <xdr:rowOff>107890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0982"/>
          <a:ext cx="2949406" cy="1303051"/>
        </a:xfrm>
        <a:prstGeom prst="rect">
          <a:avLst/>
        </a:prstGeom>
      </xdr:spPr>
    </xdr:pic>
    <xdr:clientData/>
  </xdr:twoCellAnchor>
  <xdr:twoCellAnchor editAs="oneCell">
    <xdr:from>
      <xdr:col>8</xdr:col>
      <xdr:colOff>496661</xdr:colOff>
      <xdr:row>3</xdr:row>
      <xdr:rowOff>40821</xdr:rowOff>
    </xdr:from>
    <xdr:to>
      <xdr:col>9</xdr:col>
      <xdr:colOff>972911</xdr:colOff>
      <xdr:row>7</xdr:row>
      <xdr:rowOff>9232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24"/>
        <a:stretch/>
      </xdr:blipFill>
      <xdr:spPr>
        <a:xfrm>
          <a:off x="8375197" y="802821"/>
          <a:ext cx="1918607" cy="10025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8</xdr:row>
      <xdr:rowOff>23132</xdr:rowOff>
    </xdr:to>
    <xdr:sp macro="" textlink="">
      <xdr:nvSpPr>
        <xdr:cNvPr id="2" name="AutoShape 3" descr="Home — Laboratório de Pavimentação - LAPAV | UFRGS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2990850" y="1495425"/>
          <a:ext cx="304800" cy="537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7</xdr:row>
      <xdr:rowOff>253093</xdr:rowOff>
    </xdr:to>
    <xdr:sp macro="" textlink="">
      <xdr:nvSpPr>
        <xdr:cNvPr id="3" name="AutoShape 3" descr="Home — Laboratório de Pavimentação - LAPAV | UFRGS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2990850" y="1495425"/>
          <a:ext cx="304800" cy="510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47625</xdr:colOff>
      <xdr:row>2</xdr:row>
      <xdr:rowOff>127000</xdr:rowOff>
    </xdr:from>
    <xdr:to>
      <xdr:col>3</xdr:col>
      <xdr:colOff>12531</xdr:colOff>
      <xdr:row>7</xdr:row>
      <xdr:rowOff>64801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17525"/>
          <a:ext cx="2955756" cy="1299876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1666875</xdr:colOff>
      <xdr:row>3</xdr:row>
      <xdr:rowOff>15875</xdr:rowOff>
    </xdr:from>
    <xdr:to>
      <xdr:col>8</xdr:col>
      <xdr:colOff>1362982</xdr:colOff>
      <xdr:row>6</xdr:row>
      <xdr:rowOff>208804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24"/>
        <a:stretch/>
      </xdr:blipFill>
      <xdr:spPr>
        <a:xfrm>
          <a:off x="10182225" y="701675"/>
          <a:ext cx="1924957" cy="10025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504825</xdr:colOff>
      <xdr:row>12</xdr:row>
      <xdr:rowOff>57150</xdr:rowOff>
    </xdr:from>
    <xdr:to>
      <xdr:col>7</xdr:col>
      <xdr:colOff>203200</xdr:colOff>
      <xdr:row>55</xdr:row>
      <xdr:rowOff>114300</xdr:rowOff>
    </xdr:to>
    <xdr:pic>
      <xdr:nvPicPr>
        <xdr:cNvPr id="2" name="Imagem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95325" y="2962275"/>
          <a:ext cx="7572375" cy="688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1047751</xdr:colOff>
      <xdr:row>27</xdr:row>
      <xdr:rowOff>135466</xdr:rowOff>
    </xdr:from>
    <xdr:to>
      <xdr:col>5</xdr:col>
      <xdr:colOff>403719</xdr:colOff>
      <xdr:row>30</xdr:row>
      <xdr:rowOff>143747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2984501" y="5421841"/>
          <a:ext cx="3356468" cy="48453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5</xdr:col>
      <xdr:colOff>41672</xdr:colOff>
      <xdr:row>29</xdr:row>
      <xdr:rowOff>62217</xdr:rowOff>
    </xdr:from>
    <xdr:to>
      <xdr:col>5</xdr:col>
      <xdr:colOff>403719</xdr:colOff>
      <xdr:row>66</xdr:row>
      <xdr:rowOff>23813</xdr:rowOff>
    </xdr:to>
    <xdr:cxnSp macro="">
      <xdr:nvCxnSpPr>
        <xdr:cNvPr id="8" name="Conector angulado 6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>
          <a:stCxn id="7" idx="3"/>
        </xdr:cNvCxnSpPr>
      </xdr:nvCxnSpPr>
      <xdr:spPr>
        <a:xfrm flipH="1">
          <a:off x="5988844" y="5318826"/>
          <a:ext cx="362047" cy="5724221"/>
        </a:xfrm>
        <a:prstGeom prst="bentConnector4">
          <a:avLst>
            <a:gd name="adj1" fmla="val -63141"/>
            <a:gd name="adj2" fmla="val 52064"/>
          </a:avLst>
        </a:prstGeom>
        <a:ln w="38100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21</xdr:col>
      <xdr:colOff>0</xdr:colOff>
      <xdr:row>5</xdr:row>
      <xdr:rowOff>0</xdr:rowOff>
    </xdr:from>
    <xdr:to>
      <xdr:col>21</xdr:col>
      <xdr:colOff>304800</xdr:colOff>
      <xdr:row>6</xdr:row>
      <xdr:rowOff>47625</xdr:rowOff>
    </xdr:to>
    <xdr:sp macro="" textlink="">
      <xdr:nvSpPr>
        <xdr:cNvPr id="15" name="AutoShape 2" descr="Home — Laboratório de Pavimentação - LAPAV | UFRGS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05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7</xdr:row>
      <xdr:rowOff>0</xdr:rowOff>
    </xdr:from>
    <xdr:to>
      <xdr:col>12</xdr:col>
      <xdr:colOff>304800</xdr:colOff>
      <xdr:row>8</xdr:row>
      <xdr:rowOff>47625</xdr:rowOff>
    </xdr:to>
    <xdr:sp macro="" textlink="">
      <xdr:nvSpPr>
        <xdr:cNvPr id="16" name="AutoShape 3" descr="Home — Laboratório de Pavimentação - LAPAV | UFRGS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228600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8</xdr:row>
      <xdr:rowOff>19050</xdr:rowOff>
    </xdr:to>
    <xdr:sp macro="" textlink="">
      <xdr:nvSpPr>
        <xdr:cNvPr id="25" name="AutoShape 3" descr="Home — Laboratório de Pavimentação - LAPAV | UFRGS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228600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62057</xdr:colOff>
      <xdr:row>2</xdr:row>
      <xdr:rowOff>131330</xdr:rowOff>
    </xdr:from>
    <xdr:to>
      <xdr:col>2</xdr:col>
      <xdr:colOff>1074713</xdr:colOff>
      <xdr:row>7</xdr:row>
      <xdr:rowOff>132631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57" y="373785"/>
          <a:ext cx="2952292" cy="1334801"/>
        </a:xfrm>
        <a:prstGeom prst="rect">
          <a:avLst/>
        </a:prstGeom>
      </xdr:spPr>
    </xdr:pic>
    <xdr:clientData/>
  </xdr:twoCellAnchor>
  <xdr:twoCellAnchor editAs="oneCell">
    <xdr:from>
      <xdr:col>7</xdr:col>
      <xdr:colOff>275648</xdr:colOff>
      <xdr:row>2</xdr:row>
      <xdr:rowOff>278534</xdr:rowOff>
    </xdr:from>
    <xdr:to>
      <xdr:col>8</xdr:col>
      <xdr:colOff>892505</xdr:colOff>
      <xdr:row>6</xdr:row>
      <xdr:rowOff>195816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24"/>
        <a:stretch/>
      </xdr:blipFill>
      <xdr:spPr>
        <a:xfrm>
          <a:off x="8380557" y="520989"/>
          <a:ext cx="1915721" cy="1025645"/>
        </a:xfrm>
        <a:prstGeom prst="rect">
          <a:avLst/>
        </a:prstGeom>
      </xdr:spPr>
    </xdr:pic>
    <xdr:clientData/>
  </xdr:twoCellAnchor>
  <xdr:twoCellAnchor editAs="oneCell">
    <xdr:from>
      <xdr:col>2</xdr:col>
      <xdr:colOff>1186296</xdr:colOff>
      <xdr:row>57</xdr:row>
      <xdr:rowOff>25976</xdr:rowOff>
    </xdr:from>
    <xdr:to>
      <xdr:col>8</xdr:col>
      <xdr:colOff>842398</xdr:colOff>
      <xdr:row>78</xdr:row>
      <xdr:rowOff>21215</xdr:rowOff>
    </xdr:to>
    <xdr:pic>
      <xdr:nvPicPr>
        <xdr:cNvPr id="18" name="Imagem 17" descr="https://www.rotadesantamaria.com.br/documents/107358994/107377502/Mapa+Montes+de+Mar%C3%ADa.jpg.png/268ca3ff-07fc-d3f9-cc99-92c657a8b5e4?t=162451526243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932" y="9983931"/>
          <a:ext cx="7120239" cy="3406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638735</xdr:colOff>
      <xdr:row>30</xdr:row>
      <xdr:rowOff>112058</xdr:rowOff>
    </xdr:from>
    <xdr:to>
      <xdr:col>7</xdr:col>
      <xdr:colOff>1208485</xdr:colOff>
      <xdr:row>66</xdr:row>
      <xdr:rowOff>47626</xdr:rowOff>
    </xdr:to>
    <xdr:cxnSp macro="">
      <xdr:nvCxnSpPr>
        <xdr:cNvPr id="11" name="Conector angulado 6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CxnSpPr/>
      </xdr:nvCxnSpPr>
      <xdr:spPr>
        <a:xfrm rot="16200000" flipH="1">
          <a:off x="5118811" y="7050776"/>
          <a:ext cx="5616951" cy="2698867"/>
        </a:xfrm>
        <a:prstGeom prst="bentConnector3">
          <a:avLst>
            <a:gd name="adj1" fmla="val 50000"/>
          </a:avLst>
        </a:prstGeom>
        <a:ln w="38100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8</xdr:row>
      <xdr:rowOff>0</xdr:rowOff>
    </xdr:from>
    <xdr:to>
      <xdr:col>12</xdr:col>
      <xdr:colOff>304800</xdr:colOff>
      <xdr:row>9</xdr:row>
      <xdr:rowOff>209550</xdr:rowOff>
    </xdr:to>
    <xdr:sp macro="" textlink="">
      <xdr:nvSpPr>
        <xdr:cNvPr id="9" name="AutoShape 2" descr="Home — Laboratório de Pavimentação - LAPAV | UFRGS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18335625" y="1057275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5</xdr:col>
      <xdr:colOff>50800</xdr:colOff>
      <xdr:row>9</xdr:row>
      <xdr:rowOff>152400</xdr:rowOff>
    </xdr:to>
    <xdr:sp macro="" textlink="">
      <xdr:nvSpPr>
        <xdr:cNvPr id="10" name="AutoShape 3" descr="Home — Laboratório de Pavimentação - LAPAV | UFRGS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1571625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9</xdr:row>
      <xdr:rowOff>123825</xdr:rowOff>
    </xdr:to>
    <xdr:sp macro="" textlink="">
      <xdr:nvSpPr>
        <xdr:cNvPr id="11" name="AutoShape 3" descr="Home — Laboratório de Pavimentação - LAPAV | UFRGS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369570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12</xdr:col>
      <xdr:colOff>304800</xdr:colOff>
      <xdr:row>6</xdr:row>
      <xdr:rowOff>175933</xdr:rowOff>
    </xdr:to>
    <xdr:sp macro="" textlink="">
      <xdr:nvSpPr>
        <xdr:cNvPr id="14" name="AutoShape 2" descr="Home — Laboratório de Pavimentação - LAPAV | UFRGS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18335625" y="1057275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5</xdr:col>
      <xdr:colOff>50800</xdr:colOff>
      <xdr:row>7</xdr:row>
      <xdr:rowOff>180974</xdr:rowOff>
    </xdr:to>
    <xdr:sp macro="" textlink="">
      <xdr:nvSpPr>
        <xdr:cNvPr id="15" name="AutoShape 3" descr="Home — Laboratório de Pavimentação - LAPAV | UFRGS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1571625"/>
          <a:ext cx="3048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7</xdr:row>
      <xdr:rowOff>152399</xdr:rowOff>
    </xdr:to>
    <xdr:sp macro="" textlink="">
      <xdr:nvSpPr>
        <xdr:cNvPr id="16" name="AutoShape 3" descr="Home — Laboratório de Pavimentação - LAPAV | UFRGS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369570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</xdr:row>
      <xdr:rowOff>68356</xdr:rowOff>
    </xdr:from>
    <xdr:to>
      <xdr:col>2</xdr:col>
      <xdr:colOff>920581</xdr:colOff>
      <xdr:row>8</xdr:row>
      <xdr:rowOff>2048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650"/>
          <a:ext cx="2948846" cy="1289604"/>
        </a:xfrm>
        <a:prstGeom prst="rect">
          <a:avLst/>
        </a:prstGeom>
      </xdr:spPr>
    </xdr:pic>
    <xdr:clientData/>
  </xdr:twoCellAnchor>
  <xdr:twoCellAnchor editAs="oneCell">
    <xdr:from>
      <xdr:col>3</xdr:col>
      <xdr:colOff>606798</xdr:colOff>
      <xdr:row>2</xdr:row>
      <xdr:rowOff>172571</xdr:rowOff>
    </xdr:from>
    <xdr:to>
      <xdr:col>3</xdr:col>
      <xdr:colOff>2525405</xdr:colOff>
      <xdr:row>7</xdr:row>
      <xdr:rowOff>75828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24"/>
        <a:stretch/>
      </xdr:blipFill>
      <xdr:spPr>
        <a:xfrm>
          <a:off x="8753474" y="430306"/>
          <a:ext cx="1918607" cy="9902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7</xdr:row>
      <xdr:rowOff>104774</xdr:rowOff>
    </xdr:to>
    <xdr:sp macro="" textlink="">
      <xdr:nvSpPr>
        <xdr:cNvPr id="4" name="AutoShape 3" descr="Home — Laboratório de Pavimentação - LAPAV | UFRGS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5334000" y="12668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7</xdr:row>
      <xdr:rowOff>76200</xdr:rowOff>
    </xdr:to>
    <xdr:sp macro="" textlink="">
      <xdr:nvSpPr>
        <xdr:cNvPr id="5" name="AutoShape 3" descr="Home — Laboratório de Pavimentação - LAPAV | UFRGS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5334000" y="1266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7</xdr:row>
      <xdr:rowOff>104774</xdr:rowOff>
    </xdr:to>
    <xdr:sp macro="" textlink="">
      <xdr:nvSpPr>
        <xdr:cNvPr id="10" name="AutoShape 3" descr="Home — Laboratório de Pavimentação - LAPAV | UFRGS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1304925" y="1724025"/>
          <a:ext cx="304800" cy="537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7</xdr:row>
      <xdr:rowOff>76200</xdr:rowOff>
    </xdr:to>
    <xdr:sp macro="" textlink="">
      <xdr:nvSpPr>
        <xdr:cNvPr id="11" name="AutoShape 3" descr="Home — Laboratório de Pavimentação - LAPAV | UFRGS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1304925" y="1724025"/>
          <a:ext cx="304800" cy="510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63088</xdr:colOff>
      <xdr:row>2</xdr:row>
      <xdr:rowOff>326571</xdr:rowOff>
    </xdr:from>
    <xdr:to>
      <xdr:col>3</xdr:col>
      <xdr:colOff>131491</xdr:colOff>
      <xdr:row>6</xdr:row>
      <xdr:rowOff>57379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5" t="24943" r="-4165" b="-6236"/>
        <a:stretch/>
      </xdr:blipFill>
      <xdr:spPr>
        <a:xfrm>
          <a:off x="403267" y="680357"/>
          <a:ext cx="2939510" cy="1064308"/>
        </a:xfrm>
        <a:prstGeom prst="rect">
          <a:avLst/>
        </a:prstGeom>
      </xdr:spPr>
    </xdr:pic>
    <xdr:clientData/>
  </xdr:twoCellAnchor>
  <xdr:twoCellAnchor editAs="oneCell">
    <xdr:from>
      <xdr:col>6</xdr:col>
      <xdr:colOff>1092283</xdr:colOff>
      <xdr:row>2</xdr:row>
      <xdr:rowOff>231320</xdr:rowOff>
    </xdr:from>
    <xdr:to>
      <xdr:col>7</xdr:col>
      <xdr:colOff>1850571</xdr:colOff>
      <xdr:row>5</xdr:row>
      <xdr:rowOff>98297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24"/>
        <a:stretch/>
      </xdr:blipFill>
      <xdr:spPr>
        <a:xfrm>
          <a:off x="12753604" y="585106"/>
          <a:ext cx="1914896" cy="9419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8</xdr:row>
      <xdr:rowOff>23131</xdr:rowOff>
    </xdr:to>
    <xdr:sp macro="" textlink="">
      <xdr:nvSpPr>
        <xdr:cNvPr id="2" name="AutoShape 3" descr="Home — Laboratório de Pavimentação - LAPAV | UFRGS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3209925" y="1466850"/>
          <a:ext cx="304800" cy="537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8</xdr:row>
      <xdr:rowOff>3257</xdr:rowOff>
    </xdr:to>
    <xdr:sp macro="" textlink="">
      <xdr:nvSpPr>
        <xdr:cNvPr id="3" name="AutoShape 3" descr="Home — Laboratório de Pavimentação - LAPAV | UFRGS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3209925" y="1466850"/>
          <a:ext cx="304800" cy="510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8</xdr:row>
      <xdr:rowOff>23131</xdr:rowOff>
    </xdr:to>
    <xdr:sp macro="" textlink="">
      <xdr:nvSpPr>
        <xdr:cNvPr id="4" name="AutoShape 3" descr="Home — Laboratório de Pavimentação - LAPAV | UFRGS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3209925" y="1466850"/>
          <a:ext cx="304800" cy="537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8</xdr:row>
      <xdr:rowOff>3257</xdr:rowOff>
    </xdr:to>
    <xdr:sp macro="" textlink="">
      <xdr:nvSpPr>
        <xdr:cNvPr id="5" name="AutoShape 3" descr="Home — Laboratório de Pavimentação - LAPAV | UFRGS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3209925" y="1466850"/>
          <a:ext cx="304800" cy="510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294410</xdr:colOff>
      <xdr:row>2</xdr:row>
      <xdr:rowOff>121227</xdr:rowOff>
    </xdr:from>
    <xdr:to>
      <xdr:col>3</xdr:col>
      <xdr:colOff>22634</xdr:colOff>
      <xdr:row>7</xdr:row>
      <xdr:rowOff>56142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10" y="483177"/>
          <a:ext cx="2938149" cy="1296990"/>
        </a:xfrm>
        <a:prstGeom prst="rect">
          <a:avLst/>
        </a:prstGeom>
      </xdr:spPr>
    </xdr:pic>
    <xdr:clientData/>
  </xdr:twoCellAnchor>
  <xdr:twoCellAnchor editAs="oneCell">
    <xdr:from>
      <xdr:col>11</xdr:col>
      <xdr:colOff>969819</xdr:colOff>
      <xdr:row>2</xdr:row>
      <xdr:rowOff>277092</xdr:rowOff>
    </xdr:from>
    <xdr:to>
      <xdr:col>12</xdr:col>
      <xdr:colOff>1416380</xdr:colOff>
      <xdr:row>6</xdr:row>
      <xdr:rowOff>171283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24"/>
        <a:stretch/>
      </xdr:blipFill>
      <xdr:spPr>
        <a:xfrm>
          <a:off x="12618894" y="639042"/>
          <a:ext cx="1920338" cy="999091"/>
        </a:xfrm>
        <a:prstGeom prst="rect">
          <a:avLst/>
        </a:prstGeom>
      </xdr:spPr>
    </xdr:pic>
    <xdr:clientData/>
  </xdr:twoCellAnchor>
  <xdr:twoCellAnchor>
    <xdr:from>
      <xdr:col>1</xdr:col>
      <xdr:colOff>69273</xdr:colOff>
      <xdr:row>16</xdr:row>
      <xdr:rowOff>51954</xdr:rowOff>
    </xdr:from>
    <xdr:to>
      <xdr:col>3</xdr:col>
      <xdr:colOff>5143500</xdr:colOff>
      <xdr:row>49</xdr:row>
      <xdr:rowOff>95249</xdr:rowOff>
    </xdr:to>
    <xdr:grpSp>
      <xdr:nvGrpSpPr>
        <xdr:cNvPr id="8" name="Agrupar 5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pSpPr>
          <a:grpSpLocks/>
        </xdr:cNvGrpSpPr>
      </xdr:nvGrpSpPr>
      <xdr:grpSpPr bwMode="auto">
        <a:xfrm>
          <a:off x="437221" y="3721196"/>
          <a:ext cx="8404802" cy="6165047"/>
          <a:chOff x="283028" y="3352799"/>
          <a:chExt cx="7200000" cy="3864584"/>
        </a:xfrm>
      </xdr:grpSpPr>
      <xdr:pic>
        <xdr:nvPicPr>
          <xdr:cNvPr id="9" name="Imagem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3028" y="3352799"/>
            <a:ext cx="7200000" cy="3159934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Imagem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6572" y="6596743"/>
            <a:ext cx="3600000" cy="6206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9</xdr:row>
      <xdr:rowOff>238125</xdr:rowOff>
    </xdr:to>
    <xdr:sp macro="" textlink="">
      <xdr:nvSpPr>
        <xdr:cNvPr id="2" name="AutoShape 3" descr="Home — Laboratório de Pavimentação - LAPAV | UFRGS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2286000" y="1724025"/>
          <a:ext cx="304800" cy="537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9</xdr:row>
      <xdr:rowOff>210911</xdr:rowOff>
    </xdr:to>
    <xdr:sp macro="" textlink="">
      <xdr:nvSpPr>
        <xdr:cNvPr id="3" name="AutoShape 3" descr="Home — Laboratório de Pavimentação - LAPAV | UFRGS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2286000" y="1724025"/>
          <a:ext cx="304800" cy="510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517071</xdr:colOff>
      <xdr:row>2</xdr:row>
      <xdr:rowOff>136071</xdr:rowOff>
    </xdr:from>
    <xdr:to>
      <xdr:col>2</xdr:col>
      <xdr:colOff>921075</xdr:colOff>
      <xdr:row>7</xdr:row>
      <xdr:rowOff>64801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1" y="489857"/>
          <a:ext cx="2949406" cy="1303051"/>
        </a:xfrm>
        <a:prstGeom prst="rect">
          <a:avLst/>
        </a:prstGeom>
      </xdr:spPr>
    </xdr:pic>
    <xdr:clientData/>
  </xdr:twoCellAnchor>
  <xdr:twoCellAnchor editAs="oneCell">
    <xdr:from>
      <xdr:col>8</xdr:col>
      <xdr:colOff>421821</xdr:colOff>
      <xdr:row>3</xdr:row>
      <xdr:rowOff>27214</xdr:rowOff>
    </xdr:from>
    <xdr:to>
      <xdr:col>9</xdr:col>
      <xdr:colOff>1211034</xdr:colOff>
      <xdr:row>6</xdr:row>
      <xdr:rowOff>213340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24"/>
        <a:stretch/>
      </xdr:blipFill>
      <xdr:spPr>
        <a:xfrm>
          <a:off x="11212285" y="680357"/>
          <a:ext cx="1918606" cy="1002554"/>
        </a:xfrm>
        <a:prstGeom prst="rect">
          <a:avLst/>
        </a:prstGeom>
      </xdr:spPr>
    </xdr:pic>
    <xdr:clientData/>
  </xdr:twoCellAnchor>
  <xdr:twoCellAnchor editAs="oneCell">
    <xdr:from>
      <xdr:col>11</xdr:col>
      <xdr:colOff>547686</xdr:colOff>
      <xdr:row>14</xdr:row>
      <xdr:rowOff>47624</xdr:rowOff>
    </xdr:from>
    <xdr:to>
      <xdr:col>29</xdr:col>
      <xdr:colOff>523872</xdr:colOff>
      <xdr:row>35</xdr:row>
      <xdr:rowOff>12178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5443" t="20510" r="20211" b="18610"/>
        <a:stretch/>
      </xdr:blipFill>
      <xdr:spPr>
        <a:xfrm>
          <a:off x="15430499" y="3333749"/>
          <a:ext cx="11120437" cy="59414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95249</xdr:rowOff>
    </xdr:from>
    <xdr:to>
      <xdr:col>1</xdr:col>
      <xdr:colOff>1238250</xdr:colOff>
      <xdr:row>1</xdr:row>
      <xdr:rowOff>57149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2"/>
        <a:stretch/>
      </xdr:blipFill>
      <xdr:spPr>
        <a:xfrm>
          <a:off x="0" y="95249"/>
          <a:ext cx="1819275" cy="676275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190501</xdr:colOff>
      <xdr:row>0</xdr:row>
      <xdr:rowOff>0</xdr:rowOff>
    </xdr:from>
    <xdr:to>
      <xdr:col>10</xdr:col>
      <xdr:colOff>762001</xdr:colOff>
      <xdr:row>0</xdr:row>
      <xdr:rowOff>706765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24"/>
        <a:stretch/>
      </xdr:blipFill>
      <xdr:spPr>
        <a:xfrm>
          <a:off x="8505826" y="0"/>
          <a:ext cx="1352550" cy="70676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65</xdr:row>
      <xdr:rowOff>95249</xdr:rowOff>
    </xdr:from>
    <xdr:ext cx="1819275" cy="676275"/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2"/>
        <a:stretch/>
      </xdr:blipFill>
      <xdr:spPr>
        <a:xfrm>
          <a:off x="0" y="12030074"/>
          <a:ext cx="1819275" cy="676275"/>
        </a:xfrm>
        <a:prstGeom prst="rect">
          <a:avLst/>
        </a:prstGeom>
      </xdr:spPr>
    </xdr:pic>
    <xdr:clientData/>
  </xdr:oneCellAnchor>
  <xdr:oneCellAnchor>
    <xdr:from>
      <xdr:col>9</xdr:col>
      <xdr:colOff>190501</xdr:colOff>
      <xdr:row>65</xdr:row>
      <xdr:rowOff>0</xdr:rowOff>
    </xdr:from>
    <xdr:ext cx="1352550" cy="706765"/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24"/>
        <a:stretch/>
      </xdr:blipFill>
      <xdr:spPr>
        <a:xfrm>
          <a:off x="8505826" y="11934825"/>
          <a:ext cx="1352550" cy="70676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130</xdr:row>
      <xdr:rowOff>95249</xdr:rowOff>
    </xdr:from>
    <xdr:ext cx="1819275" cy="676275"/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2"/>
        <a:stretch/>
      </xdr:blipFill>
      <xdr:spPr>
        <a:xfrm>
          <a:off x="0" y="23964899"/>
          <a:ext cx="1819275" cy="676275"/>
        </a:xfrm>
        <a:prstGeom prst="rect">
          <a:avLst/>
        </a:prstGeom>
      </xdr:spPr>
    </xdr:pic>
    <xdr:clientData/>
  </xdr:oneCellAnchor>
  <xdr:oneCellAnchor>
    <xdr:from>
      <xdr:col>9</xdr:col>
      <xdr:colOff>190501</xdr:colOff>
      <xdr:row>130</xdr:row>
      <xdr:rowOff>0</xdr:rowOff>
    </xdr:from>
    <xdr:ext cx="1352550" cy="706765"/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24"/>
        <a:stretch/>
      </xdr:blipFill>
      <xdr:spPr>
        <a:xfrm>
          <a:off x="8505826" y="23869650"/>
          <a:ext cx="1352550" cy="70676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195</xdr:row>
      <xdr:rowOff>95249</xdr:rowOff>
    </xdr:from>
    <xdr:ext cx="1819275" cy="676275"/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2"/>
        <a:stretch/>
      </xdr:blipFill>
      <xdr:spPr>
        <a:xfrm>
          <a:off x="0" y="36556949"/>
          <a:ext cx="1819275" cy="676275"/>
        </a:xfrm>
        <a:prstGeom prst="rect">
          <a:avLst/>
        </a:prstGeom>
      </xdr:spPr>
    </xdr:pic>
    <xdr:clientData/>
  </xdr:oneCellAnchor>
  <xdr:oneCellAnchor>
    <xdr:from>
      <xdr:col>9</xdr:col>
      <xdr:colOff>190501</xdr:colOff>
      <xdr:row>195</xdr:row>
      <xdr:rowOff>0</xdr:rowOff>
    </xdr:from>
    <xdr:ext cx="1352550" cy="706765"/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24"/>
        <a:stretch/>
      </xdr:blipFill>
      <xdr:spPr>
        <a:xfrm>
          <a:off x="8505826" y="36461700"/>
          <a:ext cx="1352550" cy="70676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260</xdr:row>
      <xdr:rowOff>95249</xdr:rowOff>
    </xdr:from>
    <xdr:ext cx="1819275" cy="676275"/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2"/>
        <a:stretch/>
      </xdr:blipFill>
      <xdr:spPr>
        <a:xfrm>
          <a:off x="0" y="48244124"/>
          <a:ext cx="1819275" cy="676275"/>
        </a:xfrm>
        <a:prstGeom prst="rect">
          <a:avLst/>
        </a:prstGeom>
      </xdr:spPr>
    </xdr:pic>
    <xdr:clientData/>
  </xdr:oneCellAnchor>
  <xdr:oneCellAnchor>
    <xdr:from>
      <xdr:col>9</xdr:col>
      <xdr:colOff>190501</xdr:colOff>
      <xdr:row>260</xdr:row>
      <xdr:rowOff>0</xdr:rowOff>
    </xdr:from>
    <xdr:ext cx="1352550" cy="706765"/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24"/>
        <a:stretch/>
      </xdr:blipFill>
      <xdr:spPr>
        <a:xfrm>
          <a:off x="8505826" y="48148875"/>
          <a:ext cx="1352550" cy="70676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323</xdr:row>
      <xdr:rowOff>95249</xdr:rowOff>
    </xdr:from>
    <xdr:ext cx="1819275" cy="676275"/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2"/>
        <a:stretch/>
      </xdr:blipFill>
      <xdr:spPr>
        <a:xfrm>
          <a:off x="0" y="59607449"/>
          <a:ext cx="1819275" cy="676275"/>
        </a:xfrm>
        <a:prstGeom prst="rect">
          <a:avLst/>
        </a:prstGeom>
      </xdr:spPr>
    </xdr:pic>
    <xdr:clientData/>
  </xdr:oneCellAnchor>
  <xdr:oneCellAnchor>
    <xdr:from>
      <xdr:col>9</xdr:col>
      <xdr:colOff>190501</xdr:colOff>
      <xdr:row>323</xdr:row>
      <xdr:rowOff>0</xdr:rowOff>
    </xdr:from>
    <xdr:ext cx="1352550" cy="706765"/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24"/>
        <a:stretch/>
      </xdr:blipFill>
      <xdr:spPr>
        <a:xfrm>
          <a:off x="8505826" y="59512200"/>
          <a:ext cx="1352550" cy="70676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386</xdr:row>
      <xdr:rowOff>95249</xdr:rowOff>
    </xdr:from>
    <xdr:ext cx="1819275" cy="676275"/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2"/>
        <a:stretch/>
      </xdr:blipFill>
      <xdr:spPr>
        <a:xfrm>
          <a:off x="0" y="70970774"/>
          <a:ext cx="1819275" cy="676275"/>
        </a:xfrm>
        <a:prstGeom prst="rect">
          <a:avLst/>
        </a:prstGeom>
      </xdr:spPr>
    </xdr:pic>
    <xdr:clientData/>
  </xdr:oneCellAnchor>
  <xdr:oneCellAnchor>
    <xdr:from>
      <xdr:col>9</xdr:col>
      <xdr:colOff>190501</xdr:colOff>
      <xdr:row>386</xdr:row>
      <xdr:rowOff>0</xdr:rowOff>
    </xdr:from>
    <xdr:ext cx="1352550" cy="706765"/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24"/>
        <a:stretch/>
      </xdr:blipFill>
      <xdr:spPr>
        <a:xfrm>
          <a:off x="8505826" y="59226450"/>
          <a:ext cx="1352550" cy="70676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449</xdr:row>
      <xdr:rowOff>95249</xdr:rowOff>
    </xdr:from>
    <xdr:ext cx="1819275" cy="676275"/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2"/>
        <a:stretch/>
      </xdr:blipFill>
      <xdr:spPr>
        <a:xfrm>
          <a:off x="0" y="82334099"/>
          <a:ext cx="1819275" cy="676275"/>
        </a:xfrm>
        <a:prstGeom prst="rect">
          <a:avLst/>
        </a:prstGeom>
      </xdr:spPr>
    </xdr:pic>
    <xdr:clientData/>
  </xdr:oneCellAnchor>
  <xdr:oneCellAnchor>
    <xdr:from>
      <xdr:col>9</xdr:col>
      <xdr:colOff>190501</xdr:colOff>
      <xdr:row>449</xdr:row>
      <xdr:rowOff>0</xdr:rowOff>
    </xdr:from>
    <xdr:ext cx="1352550" cy="706765"/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24"/>
        <a:stretch/>
      </xdr:blipFill>
      <xdr:spPr>
        <a:xfrm>
          <a:off x="8505826" y="82238850"/>
          <a:ext cx="1352550" cy="70676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512</xdr:row>
      <xdr:rowOff>95249</xdr:rowOff>
    </xdr:from>
    <xdr:ext cx="1819275" cy="676275"/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2"/>
        <a:stretch/>
      </xdr:blipFill>
      <xdr:spPr>
        <a:xfrm>
          <a:off x="0" y="93697424"/>
          <a:ext cx="1819275" cy="676275"/>
        </a:xfrm>
        <a:prstGeom prst="rect">
          <a:avLst/>
        </a:prstGeom>
      </xdr:spPr>
    </xdr:pic>
    <xdr:clientData/>
  </xdr:oneCellAnchor>
  <xdr:oneCellAnchor>
    <xdr:from>
      <xdr:col>9</xdr:col>
      <xdr:colOff>190501</xdr:colOff>
      <xdr:row>512</xdr:row>
      <xdr:rowOff>0</xdr:rowOff>
    </xdr:from>
    <xdr:ext cx="1352550" cy="706765"/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24"/>
        <a:stretch/>
      </xdr:blipFill>
      <xdr:spPr>
        <a:xfrm>
          <a:off x="8505826" y="70589775"/>
          <a:ext cx="1352550" cy="70676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575</xdr:row>
      <xdr:rowOff>95249</xdr:rowOff>
    </xdr:from>
    <xdr:ext cx="1819275" cy="676275"/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2"/>
        <a:stretch/>
      </xdr:blipFill>
      <xdr:spPr>
        <a:xfrm>
          <a:off x="0" y="105060749"/>
          <a:ext cx="1819275" cy="676275"/>
        </a:xfrm>
        <a:prstGeom prst="rect">
          <a:avLst/>
        </a:prstGeom>
      </xdr:spPr>
    </xdr:pic>
    <xdr:clientData/>
  </xdr:oneCellAnchor>
  <xdr:oneCellAnchor>
    <xdr:from>
      <xdr:col>9</xdr:col>
      <xdr:colOff>190501</xdr:colOff>
      <xdr:row>575</xdr:row>
      <xdr:rowOff>0</xdr:rowOff>
    </xdr:from>
    <xdr:ext cx="1352550" cy="706765"/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24"/>
        <a:stretch/>
      </xdr:blipFill>
      <xdr:spPr>
        <a:xfrm>
          <a:off x="8505826" y="70751700"/>
          <a:ext cx="1352550" cy="70676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638</xdr:row>
      <xdr:rowOff>95249</xdr:rowOff>
    </xdr:from>
    <xdr:ext cx="1819275" cy="676275"/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2"/>
        <a:stretch/>
      </xdr:blipFill>
      <xdr:spPr>
        <a:xfrm>
          <a:off x="0" y="116424074"/>
          <a:ext cx="1819275" cy="676275"/>
        </a:xfrm>
        <a:prstGeom prst="rect">
          <a:avLst/>
        </a:prstGeom>
      </xdr:spPr>
    </xdr:pic>
    <xdr:clientData/>
  </xdr:oneCellAnchor>
  <xdr:oneCellAnchor>
    <xdr:from>
      <xdr:col>9</xdr:col>
      <xdr:colOff>190501</xdr:colOff>
      <xdr:row>638</xdr:row>
      <xdr:rowOff>0</xdr:rowOff>
    </xdr:from>
    <xdr:ext cx="1352550" cy="706765"/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24"/>
        <a:stretch/>
      </xdr:blipFill>
      <xdr:spPr>
        <a:xfrm>
          <a:off x="8505826" y="116328825"/>
          <a:ext cx="1352550" cy="70676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703</xdr:row>
      <xdr:rowOff>95249</xdr:rowOff>
    </xdr:from>
    <xdr:ext cx="1819275" cy="676275"/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2"/>
        <a:stretch/>
      </xdr:blipFill>
      <xdr:spPr>
        <a:xfrm>
          <a:off x="0" y="128358899"/>
          <a:ext cx="1819275" cy="676275"/>
        </a:xfrm>
        <a:prstGeom prst="rect">
          <a:avLst/>
        </a:prstGeom>
      </xdr:spPr>
    </xdr:pic>
    <xdr:clientData/>
  </xdr:oneCellAnchor>
  <xdr:oneCellAnchor>
    <xdr:from>
      <xdr:col>9</xdr:col>
      <xdr:colOff>190501</xdr:colOff>
      <xdr:row>703</xdr:row>
      <xdr:rowOff>0</xdr:rowOff>
    </xdr:from>
    <xdr:ext cx="1352550" cy="706765"/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24"/>
        <a:stretch/>
      </xdr:blipFill>
      <xdr:spPr>
        <a:xfrm>
          <a:off x="8505826" y="127977900"/>
          <a:ext cx="1352550" cy="70676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768</xdr:row>
      <xdr:rowOff>95249</xdr:rowOff>
    </xdr:from>
    <xdr:ext cx="1819275" cy="676275"/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2"/>
        <a:stretch/>
      </xdr:blipFill>
      <xdr:spPr>
        <a:xfrm>
          <a:off x="0" y="141360524"/>
          <a:ext cx="1819275" cy="676275"/>
        </a:xfrm>
        <a:prstGeom prst="rect">
          <a:avLst/>
        </a:prstGeom>
      </xdr:spPr>
    </xdr:pic>
    <xdr:clientData/>
  </xdr:oneCellAnchor>
  <xdr:oneCellAnchor>
    <xdr:from>
      <xdr:col>9</xdr:col>
      <xdr:colOff>190501</xdr:colOff>
      <xdr:row>768</xdr:row>
      <xdr:rowOff>0</xdr:rowOff>
    </xdr:from>
    <xdr:ext cx="1352550" cy="706765"/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24"/>
        <a:stretch/>
      </xdr:blipFill>
      <xdr:spPr>
        <a:xfrm>
          <a:off x="8505826" y="141265275"/>
          <a:ext cx="1352550" cy="70676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833</xdr:row>
      <xdr:rowOff>95249</xdr:rowOff>
    </xdr:from>
    <xdr:ext cx="1819275" cy="676275"/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2"/>
        <a:stretch/>
      </xdr:blipFill>
      <xdr:spPr>
        <a:xfrm>
          <a:off x="0" y="154362149"/>
          <a:ext cx="1819275" cy="676275"/>
        </a:xfrm>
        <a:prstGeom prst="rect">
          <a:avLst/>
        </a:prstGeom>
      </xdr:spPr>
    </xdr:pic>
    <xdr:clientData/>
  </xdr:oneCellAnchor>
  <xdr:oneCellAnchor>
    <xdr:from>
      <xdr:col>9</xdr:col>
      <xdr:colOff>190501</xdr:colOff>
      <xdr:row>833</xdr:row>
      <xdr:rowOff>0</xdr:rowOff>
    </xdr:from>
    <xdr:ext cx="1352550" cy="706765"/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24"/>
        <a:stretch/>
      </xdr:blipFill>
      <xdr:spPr>
        <a:xfrm>
          <a:off x="8505826" y="154266900"/>
          <a:ext cx="1352550" cy="70676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896</xdr:row>
      <xdr:rowOff>95249</xdr:rowOff>
    </xdr:from>
    <xdr:ext cx="1819275" cy="676275"/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2"/>
        <a:stretch/>
      </xdr:blipFill>
      <xdr:spPr>
        <a:xfrm>
          <a:off x="0" y="165725474"/>
          <a:ext cx="1819275" cy="676275"/>
        </a:xfrm>
        <a:prstGeom prst="rect">
          <a:avLst/>
        </a:prstGeom>
      </xdr:spPr>
    </xdr:pic>
    <xdr:clientData/>
  </xdr:oneCellAnchor>
  <xdr:oneCellAnchor>
    <xdr:from>
      <xdr:col>9</xdr:col>
      <xdr:colOff>190501</xdr:colOff>
      <xdr:row>896</xdr:row>
      <xdr:rowOff>0</xdr:rowOff>
    </xdr:from>
    <xdr:ext cx="1352550" cy="706765"/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24"/>
        <a:stretch/>
      </xdr:blipFill>
      <xdr:spPr>
        <a:xfrm>
          <a:off x="8505826" y="165630225"/>
          <a:ext cx="1352550" cy="70676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959</xdr:row>
      <xdr:rowOff>95249</xdr:rowOff>
    </xdr:from>
    <xdr:ext cx="1819275" cy="676275"/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2"/>
        <a:stretch/>
      </xdr:blipFill>
      <xdr:spPr>
        <a:xfrm>
          <a:off x="0" y="177088799"/>
          <a:ext cx="1819275" cy="676275"/>
        </a:xfrm>
        <a:prstGeom prst="rect">
          <a:avLst/>
        </a:prstGeom>
      </xdr:spPr>
    </xdr:pic>
    <xdr:clientData/>
  </xdr:oneCellAnchor>
  <xdr:oneCellAnchor>
    <xdr:from>
      <xdr:col>9</xdr:col>
      <xdr:colOff>190501</xdr:colOff>
      <xdr:row>959</xdr:row>
      <xdr:rowOff>0</xdr:rowOff>
    </xdr:from>
    <xdr:ext cx="1352550" cy="706765"/>
    <xdr:pic>
      <xdr:nvPicPr>
        <xdr:cNvPr id="33" name="Imagem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24"/>
        <a:stretch/>
      </xdr:blipFill>
      <xdr:spPr>
        <a:xfrm>
          <a:off x="8505826" y="176993550"/>
          <a:ext cx="1352550" cy="70676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1032</xdr:row>
      <xdr:rowOff>95249</xdr:rowOff>
    </xdr:from>
    <xdr:ext cx="1819275" cy="676275"/>
    <xdr:pic>
      <xdr:nvPicPr>
        <xdr:cNvPr id="34" name="Imagem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2"/>
        <a:stretch/>
      </xdr:blipFill>
      <xdr:spPr>
        <a:xfrm>
          <a:off x="0" y="190566674"/>
          <a:ext cx="1819275" cy="676275"/>
        </a:xfrm>
        <a:prstGeom prst="rect">
          <a:avLst/>
        </a:prstGeom>
      </xdr:spPr>
    </xdr:pic>
    <xdr:clientData/>
  </xdr:oneCellAnchor>
  <xdr:oneCellAnchor>
    <xdr:from>
      <xdr:col>9</xdr:col>
      <xdr:colOff>190501</xdr:colOff>
      <xdr:row>1032</xdr:row>
      <xdr:rowOff>0</xdr:rowOff>
    </xdr:from>
    <xdr:ext cx="1352550" cy="706765"/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24"/>
        <a:stretch/>
      </xdr:blipFill>
      <xdr:spPr>
        <a:xfrm>
          <a:off x="8505826" y="190471425"/>
          <a:ext cx="1352550" cy="706765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8</xdr:row>
      <xdr:rowOff>23132</xdr:rowOff>
    </xdr:to>
    <xdr:sp macro="" textlink="">
      <xdr:nvSpPr>
        <xdr:cNvPr id="2" name="AutoShape 3" descr="Home — Laboratório de Pavimentação - LAPAV | UFRGS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7086600" y="1495425"/>
          <a:ext cx="304800" cy="537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7</xdr:row>
      <xdr:rowOff>253093</xdr:rowOff>
    </xdr:to>
    <xdr:sp macro="" textlink="">
      <xdr:nvSpPr>
        <xdr:cNvPr id="3" name="AutoShape 3" descr="Home — Laboratório de Pavimentação - LAPAV | UFRGS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7086600" y="1495425"/>
          <a:ext cx="304800" cy="510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47625</xdr:colOff>
      <xdr:row>2</xdr:row>
      <xdr:rowOff>127000</xdr:rowOff>
    </xdr:from>
    <xdr:to>
      <xdr:col>1</xdr:col>
      <xdr:colOff>2822406</xdr:colOff>
      <xdr:row>7</xdr:row>
      <xdr:rowOff>64801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17525"/>
          <a:ext cx="2955756" cy="1299876"/>
        </a:xfrm>
        <a:prstGeom prst="rect">
          <a:avLst/>
        </a:prstGeom>
      </xdr:spPr>
    </xdr:pic>
    <xdr:clientData/>
  </xdr:twoCellAnchor>
  <xdr:twoCellAnchor editAs="oneCell">
    <xdr:from>
      <xdr:col>9</xdr:col>
      <xdr:colOff>1666875</xdr:colOff>
      <xdr:row>3</xdr:row>
      <xdr:rowOff>15875</xdr:rowOff>
    </xdr:from>
    <xdr:to>
      <xdr:col>10</xdr:col>
      <xdr:colOff>1362982</xdr:colOff>
      <xdr:row>6</xdr:row>
      <xdr:rowOff>208804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24"/>
        <a:stretch/>
      </xdr:blipFill>
      <xdr:spPr>
        <a:xfrm>
          <a:off x="14478000" y="701675"/>
          <a:ext cx="1924957" cy="100255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669019</xdr:colOff>
      <xdr:row>55</xdr:row>
      <xdr:rowOff>136071</xdr:rowOff>
    </xdr:from>
    <xdr:to>
      <xdr:col>22</xdr:col>
      <xdr:colOff>371940</xdr:colOff>
      <xdr:row>73</xdr:row>
      <xdr:rowOff>47319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1448" y="11348357"/>
          <a:ext cx="5445136" cy="309531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4</xdr:col>
      <xdr:colOff>304800</xdr:colOff>
      <xdr:row>8</xdr:row>
      <xdr:rowOff>156481</xdr:rowOff>
    </xdr:to>
    <xdr:sp macro="" textlink="">
      <xdr:nvSpPr>
        <xdr:cNvPr id="3" name="AutoShape 3" descr="Home — Laboratório de Pavimentação - LAPAV | UFRGS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5562600" y="1466850"/>
          <a:ext cx="304800" cy="670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4</xdr:col>
      <xdr:colOff>304800</xdr:colOff>
      <xdr:row>8</xdr:row>
      <xdr:rowOff>129268</xdr:rowOff>
    </xdr:to>
    <xdr:sp macro="" textlink="">
      <xdr:nvSpPr>
        <xdr:cNvPr id="4" name="AutoShape 3" descr="Home — Laboratório de Pavimentação - LAPAV | UFRGS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5562600" y="1466850"/>
          <a:ext cx="304800" cy="643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45400</xdr:colOff>
      <xdr:row>1</xdr:row>
      <xdr:rowOff>39584</xdr:rowOff>
    </xdr:from>
    <xdr:to>
      <xdr:col>2</xdr:col>
      <xdr:colOff>74342</xdr:colOff>
      <xdr:row>8</xdr:row>
      <xdr:rowOff>3074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579" y="216477"/>
          <a:ext cx="2940870" cy="1773240"/>
        </a:xfrm>
        <a:prstGeom prst="rect">
          <a:avLst/>
        </a:prstGeom>
      </xdr:spPr>
    </xdr:pic>
    <xdr:clientData/>
  </xdr:twoCellAnchor>
  <xdr:twoCellAnchor editAs="oneCell">
    <xdr:from>
      <xdr:col>9</xdr:col>
      <xdr:colOff>122464</xdr:colOff>
      <xdr:row>2</xdr:row>
      <xdr:rowOff>113805</xdr:rowOff>
    </xdr:from>
    <xdr:to>
      <xdr:col>11</xdr:col>
      <xdr:colOff>864425</xdr:colOff>
      <xdr:row>7</xdr:row>
      <xdr:rowOff>142707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24"/>
        <a:stretch/>
      </xdr:blipFill>
      <xdr:spPr>
        <a:xfrm>
          <a:off x="9620250" y="467591"/>
          <a:ext cx="2837461" cy="14032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rencia%20de%20Pavimentos\Paragon%20II%201.10\indices%20caracterizador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rencia%20de%20Pavimentos\Paragon%20II%201.10\Graficos\CARACT%20PAV%20EXISTENT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ucio.machado\Downloads\PATO\PATOs%20TOLEDO%20BR-163-272-467-469\ARQUIVOS%20R96\EXCEL\PATOs\BR153_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PATO"/>
      <sheetName val="TLCB5"/>
      <sheetName val="TLMR"/>
      <sheetName val="MB"/>
      <sheetName val="Mão de Obra"/>
      <sheetName val="CROQUIS"/>
      <sheetName val="Planilha"/>
      <sheetName val="Preâmbulo"/>
      <sheetName val="Mapa de Localização do trecho"/>
      <sheetName val="Justificativas"/>
      <sheetName val="PLANILHA RESUMO DO PATO"/>
      <sheetName val="Metodologia"/>
      <sheetName val="QUESTÕES AMBIENTAIS"/>
      <sheetName val="Planilha1"/>
      <sheetName val="p a t o 99 b"/>
      <sheetName val="Página 16"/>
      <sheetName val="1.6"/>
      <sheetName val="Produto 09"/>
      <sheetName val="Produto 10"/>
      <sheetName val="Produto 01"/>
      <sheetName val="Prod. 03A CREMA-CIB"/>
    </sheetNames>
    <sheetDataSet>
      <sheetData sheetId="0">
        <row r="3">
          <cell r="B3" t="str">
            <v>ISP</v>
          </cell>
          <cell r="C3" t="str">
            <v>ICDS</v>
          </cell>
          <cell r="D3" t="str">
            <v>ICDP</v>
          </cell>
          <cell r="E3" t="str">
            <v>ICDE</v>
          </cell>
        </row>
        <row r="4">
          <cell r="A4" t="str">
            <v>EXCELENTE</v>
          </cell>
          <cell r="B4">
            <v>0</v>
          </cell>
          <cell r="C4">
            <v>2.52</v>
          </cell>
          <cell r="D4">
            <v>1.1200000000000001</v>
          </cell>
          <cell r="E4">
            <v>0</v>
          </cell>
        </row>
        <row r="5">
          <cell r="A5" t="str">
            <v>BOM</v>
          </cell>
          <cell r="B5">
            <v>9.86</v>
          </cell>
          <cell r="C5">
            <v>32.18</v>
          </cell>
          <cell r="D5">
            <v>39.72</v>
          </cell>
          <cell r="E5">
            <v>8.2799999999999994</v>
          </cell>
        </row>
        <row r="6">
          <cell r="A6" t="str">
            <v>REGULAR</v>
          </cell>
          <cell r="B6">
            <v>75.14</v>
          </cell>
          <cell r="C6">
            <v>12.9</v>
          </cell>
          <cell r="D6">
            <v>44.48</v>
          </cell>
          <cell r="E6">
            <v>52.96</v>
          </cell>
        </row>
        <row r="7">
          <cell r="A7" t="str">
            <v>MAU</v>
          </cell>
          <cell r="B7">
            <v>0.32</v>
          </cell>
          <cell r="C7">
            <v>37.72</v>
          </cell>
          <cell r="D7">
            <v>0</v>
          </cell>
          <cell r="E7">
            <v>24.08</v>
          </cell>
        </row>
        <row r="8">
          <cell r="A8" t="str">
            <v>PÉSSIMO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Total</v>
          </cell>
          <cell r="B9">
            <v>85.32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B3">
            <v>0</v>
          </cell>
        </row>
      </sheetData>
      <sheetData sheetId="10">
        <row r="3">
          <cell r="B3">
            <v>0</v>
          </cell>
        </row>
      </sheetData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aux"/>
      <sheetName val="graficos"/>
      <sheetName val="graficos (2)"/>
      <sheetName val="A"/>
      <sheetName val="p a t o 99 b"/>
      <sheetName val="DADOS"/>
      <sheetName val="INVENTÁRIO262"/>
      <sheetName val="SERVIÇOS"/>
      <sheetName val="61M-CBMI"/>
      <sheetName val="Produto 09"/>
      <sheetName val="Produto 10"/>
      <sheetName val="Produto 01"/>
      <sheetName val="Prod. 03A CREMA-CIB"/>
    </sheetNames>
    <sheetDataSet>
      <sheetData sheetId="0">
        <row r="6">
          <cell r="B6">
            <v>11.439114391143912</v>
          </cell>
        </row>
      </sheetData>
      <sheetData sheetId="1">
        <row r="6">
          <cell r="B6">
            <v>11.439114391143912</v>
          </cell>
          <cell r="C6">
            <v>33.210332103321036</v>
          </cell>
          <cell r="D6">
            <v>9.9630996309963091</v>
          </cell>
          <cell r="E6">
            <v>37.269372693726936</v>
          </cell>
          <cell r="F6">
            <v>8.1180811808118083</v>
          </cell>
        </row>
        <row r="8">
          <cell r="B8">
            <v>36.531365313653133</v>
          </cell>
          <cell r="C8">
            <v>14.760147601476014</v>
          </cell>
          <cell r="D8">
            <v>4.7970479704797047</v>
          </cell>
          <cell r="E8">
            <v>36.531365313653133</v>
          </cell>
          <cell r="F8">
            <v>7.3800738007380069</v>
          </cell>
        </row>
        <row r="10">
          <cell r="B10">
            <v>11.439114391143912</v>
          </cell>
          <cell r="C10">
            <v>23.247232472324722</v>
          </cell>
          <cell r="D10">
            <v>9.9630996309963091</v>
          </cell>
          <cell r="E10">
            <v>3.3210332103321036</v>
          </cell>
          <cell r="F10">
            <v>52.02952029520295</v>
          </cell>
        </row>
        <row r="12">
          <cell r="B12">
            <v>0</v>
          </cell>
          <cell r="C12">
            <v>45.38745387453875</v>
          </cell>
          <cell r="D12">
            <v>1.107011070110701</v>
          </cell>
          <cell r="E12">
            <v>53.505535055350549</v>
          </cell>
          <cell r="F12">
            <v>0</v>
          </cell>
        </row>
        <row r="14">
          <cell r="B14">
            <v>0</v>
          </cell>
          <cell r="C14">
            <v>45.38745387453875</v>
          </cell>
          <cell r="D14">
            <v>1.107011070110701</v>
          </cell>
          <cell r="E14">
            <v>53.505535055350549</v>
          </cell>
          <cell r="F14">
            <v>0</v>
          </cell>
        </row>
        <row r="16">
          <cell r="B16">
            <v>100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22">
          <cell r="B22">
            <v>0</v>
          </cell>
          <cell r="C22">
            <v>46.494464944649444</v>
          </cell>
          <cell r="D22">
            <v>53.505535055350549</v>
          </cell>
          <cell r="E22">
            <v>0</v>
          </cell>
          <cell r="F22">
            <v>0</v>
          </cell>
          <cell r="I22">
            <v>0</v>
          </cell>
          <cell r="J22">
            <v>2.52</v>
          </cell>
          <cell r="K22">
            <v>2.9</v>
          </cell>
          <cell r="L22">
            <v>0</v>
          </cell>
          <cell r="M22">
            <v>0</v>
          </cell>
        </row>
        <row r="23">
          <cell r="B23" t="str">
            <v xml:space="preserve">  4 - 5</v>
          </cell>
          <cell r="C23" t="str">
            <v xml:space="preserve">  3 -   4</v>
          </cell>
          <cell r="D23" t="str">
            <v xml:space="preserve">  2 -   3</v>
          </cell>
          <cell r="E23" t="str">
            <v xml:space="preserve">  1 -   2</v>
          </cell>
          <cell r="F23" t="str">
            <v>0 -  1</v>
          </cell>
        </row>
        <row r="24">
          <cell r="B24">
            <v>46.494464944649444</v>
          </cell>
          <cell r="C24">
            <v>0</v>
          </cell>
          <cell r="D24">
            <v>4.7970479704797047</v>
          </cell>
          <cell r="E24">
            <v>48.708487084870846</v>
          </cell>
          <cell r="F24">
            <v>0</v>
          </cell>
          <cell r="I24">
            <v>2.52</v>
          </cell>
          <cell r="J24">
            <v>0</v>
          </cell>
          <cell r="K24">
            <v>0.26</v>
          </cell>
          <cell r="L24">
            <v>2.64</v>
          </cell>
          <cell r="M24">
            <v>0</v>
          </cell>
        </row>
        <row r="25">
          <cell r="B25" t="str">
            <v xml:space="preserve">  4 - 5</v>
          </cell>
          <cell r="C25" t="str">
            <v xml:space="preserve">  3 -   4</v>
          </cell>
          <cell r="D25" t="str">
            <v xml:space="preserve">  2 -   3</v>
          </cell>
          <cell r="E25" t="str">
            <v xml:space="preserve">  1 -   2</v>
          </cell>
          <cell r="F25" t="str">
            <v>0 -  1</v>
          </cell>
        </row>
        <row r="26">
          <cell r="B26">
            <v>54.243542435424352</v>
          </cell>
          <cell r="C26">
            <v>45.756457564575648</v>
          </cell>
          <cell r="D26">
            <v>0</v>
          </cell>
          <cell r="E26">
            <v>0</v>
          </cell>
          <cell r="F26">
            <v>0</v>
          </cell>
          <cell r="I26">
            <v>2.94</v>
          </cell>
          <cell r="J26">
            <v>2.48</v>
          </cell>
          <cell r="K26">
            <v>0</v>
          </cell>
          <cell r="L26">
            <v>0</v>
          </cell>
          <cell r="M26">
            <v>0</v>
          </cell>
        </row>
        <row r="27">
          <cell r="B27" t="str">
            <v xml:space="preserve">  4 - 5</v>
          </cell>
          <cell r="C27" t="str">
            <v xml:space="preserve">  3 -   4</v>
          </cell>
          <cell r="D27" t="str">
            <v xml:space="preserve">  2 -   3</v>
          </cell>
          <cell r="E27" t="str">
            <v xml:space="preserve">  1 -   2</v>
          </cell>
          <cell r="F27" t="str">
            <v>0 -  1</v>
          </cell>
        </row>
        <row r="28">
          <cell r="B28">
            <v>0</v>
          </cell>
          <cell r="C28">
            <v>0</v>
          </cell>
          <cell r="D28">
            <v>49.815498154981555</v>
          </cell>
          <cell r="E28">
            <v>50.184501845018445</v>
          </cell>
          <cell r="F28">
            <v>0</v>
          </cell>
          <cell r="I28">
            <v>0</v>
          </cell>
          <cell r="J28">
            <v>0</v>
          </cell>
          <cell r="K28">
            <v>2.7</v>
          </cell>
          <cell r="L28">
            <v>2.72</v>
          </cell>
          <cell r="M28">
            <v>0</v>
          </cell>
        </row>
        <row r="29">
          <cell r="B29" t="str">
            <v xml:space="preserve">  4 - 5</v>
          </cell>
          <cell r="C29" t="str">
            <v xml:space="preserve">  3 -   4</v>
          </cell>
          <cell r="D29" t="str">
            <v xml:space="preserve">  2 -   3</v>
          </cell>
          <cell r="E29" t="str">
            <v xml:space="preserve">  1 -   2</v>
          </cell>
          <cell r="F29" t="str">
            <v>0 -  1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Contrato A"/>
      <sheetName val="Resumo B"/>
      <sheetName val="Custos Unit."/>
      <sheetName val="COMPOSIÇÃO C"/>
      <sheetName val="Auxiliar"/>
      <sheetName val="P A T O  D"/>
      <sheetName val="Trans E"/>
      <sheetName val="Cronograma F (1)"/>
      <sheetName val="Cronograma F (2)"/>
      <sheetName val="Preços  G"/>
      <sheetName val="Croqui H"/>
      <sheetName val="Pesquisa I"/>
      <sheetName val="MEDIÇÃO RESUMO"/>
      <sheetName val="61M-CBMI"/>
      <sheetName val="MAT-BET"/>
      <sheetName val="Serviços"/>
      <sheetName val="COMPOS1"/>
      <sheetName val="61M-CBMI:MAT-B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:L51"/>
  <sheetViews>
    <sheetView tabSelected="1" view="pageBreakPreview" zoomScale="55" zoomScaleNormal="60" zoomScaleSheetLayoutView="55" workbookViewId="0">
      <selection activeCell="B23" sqref="B23:J24"/>
    </sheetView>
  </sheetViews>
  <sheetFormatPr defaultRowHeight="14.25" x14ac:dyDescent="0.2"/>
  <cols>
    <col min="1" max="1" width="2.85546875" style="16" customWidth="1"/>
    <col min="2" max="2" width="3.28515625" style="16" customWidth="1"/>
    <col min="3" max="3" width="32.42578125" style="16" customWidth="1"/>
    <col min="4" max="8" width="16" style="16" customWidth="1"/>
    <col min="9" max="9" width="21.7109375" style="16" customWidth="1"/>
    <col min="10" max="10" width="16" style="16" customWidth="1"/>
    <col min="11" max="11" width="2.85546875" style="16" customWidth="1"/>
    <col min="12" max="12" width="9.7109375" style="16" bestFit="1" customWidth="1"/>
    <col min="13" max="16384" width="9.140625" style="16"/>
  </cols>
  <sheetData>
    <row r="2" spans="2:10" ht="23.25" customHeight="1" x14ac:dyDescent="0.2"/>
    <row r="3" spans="2:10" ht="22.5" customHeight="1" x14ac:dyDescent="0.35">
      <c r="B3" s="694"/>
      <c r="C3" s="695"/>
      <c r="D3" s="695"/>
      <c r="E3" s="695"/>
      <c r="F3" s="695"/>
      <c r="G3" s="695"/>
      <c r="H3" s="695"/>
      <c r="I3" s="695"/>
      <c r="J3" s="696"/>
    </row>
    <row r="4" spans="2:10" ht="22.5" customHeight="1" x14ac:dyDescent="0.35">
      <c r="B4" s="703" t="s">
        <v>84</v>
      </c>
      <c r="C4" s="704"/>
      <c r="D4" s="704"/>
      <c r="E4" s="704"/>
      <c r="F4" s="704"/>
      <c r="G4" s="704"/>
      <c r="H4" s="704"/>
      <c r="I4" s="704"/>
      <c r="J4" s="705"/>
    </row>
    <row r="5" spans="2:10" ht="18" customHeight="1" x14ac:dyDescent="0.3">
      <c r="B5" s="17"/>
      <c r="C5" s="18"/>
      <c r="D5"/>
      <c r="E5" s="19"/>
      <c r="F5" s="19"/>
      <c r="G5" s="19"/>
      <c r="H5" s="19"/>
      <c r="I5" s="19"/>
      <c r="J5" s="20"/>
    </row>
    <row r="6" spans="2:10" ht="22.5" customHeight="1" x14ac:dyDescent="0.35">
      <c r="B6" s="703"/>
      <c r="C6" s="706"/>
      <c r="D6" s="706"/>
      <c r="E6" s="706"/>
      <c r="F6" s="706"/>
      <c r="G6" s="706"/>
      <c r="H6" s="706"/>
      <c r="I6" s="706"/>
      <c r="J6" s="705"/>
    </row>
    <row r="7" spans="2:10" ht="18" customHeight="1" x14ac:dyDescent="0.3">
      <c r="B7" s="53"/>
      <c r="C7" s="54"/>
      <c r="D7" s="54"/>
      <c r="E7" s="54"/>
      <c r="F7" s="54"/>
      <c r="G7" s="54"/>
      <c r="H7" s="54"/>
      <c r="I7" s="54"/>
      <c r="J7" s="55"/>
    </row>
    <row r="8" spans="2:10" ht="22.5" customHeight="1" x14ac:dyDescent="0.3">
      <c r="B8" s="707"/>
      <c r="C8" s="708"/>
      <c r="D8" s="708"/>
      <c r="E8" s="708"/>
      <c r="F8" s="708"/>
      <c r="G8" s="708"/>
      <c r="H8" s="708"/>
      <c r="I8" s="708"/>
      <c r="J8" s="709"/>
    </row>
    <row r="9" spans="2:10" ht="15" customHeight="1" x14ac:dyDescent="0.2">
      <c r="B9" s="710"/>
      <c r="C9" s="710"/>
      <c r="D9" s="710"/>
      <c r="E9" s="710"/>
      <c r="F9" s="710"/>
      <c r="G9" s="710"/>
      <c r="H9" s="710"/>
      <c r="I9" s="710"/>
      <c r="J9" s="710"/>
    </row>
    <row r="10" spans="2:10" ht="22.5" customHeight="1" x14ac:dyDescent="0.2">
      <c r="B10" s="21"/>
      <c r="C10" s="22"/>
      <c r="D10" s="22"/>
      <c r="E10" s="23"/>
      <c r="F10" s="23"/>
      <c r="G10" s="23"/>
      <c r="H10" s="23"/>
      <c r="I10" s="23"/>
      <c r="J10" s="24"/>
    </row>
    <row r="11" spans="2:10" ht="22.5" customHeight="1" x14ac:dyDescent="0.35">
      <c r="B11" s="697"/>
      <c r="C11" s="698"/>
      <c r="D11" s="698"/>
      <c r="E11" s="698"/>
      <c r="F11" s="698"/>
      <c r="G11" s="698"/>
      <c r="H11" s="698"/>
      <c r="I11" s="698"/>
      <c r="J11" s="699"/>
    </row>
    <row r="12" spans="2:10" ht="22.5" customHeight="1" x14ac:dyDescent="0.2">
      <c r="B12" s="21"/>
      <c r="C12" s="25"/>
      <c r="D12" s="25"/>
      <c r="J12" s="26"/>
    </row>
    <row r="13" spans="2:10" ht="22.5" customHeight="1" x14ac:dyDescent="0.35">
      <c r="B13" s="697"/>
      <c r="C13" s="698"/>
      <c r="D13" s="698"/>
      <c r="E13" s="698"/>
      <c r="F13" s="698"/>
      <c r="G13" s="698"/>
      <c r="H13" s="698"/>
      <c r="I13" s="698"/>
      <c r="J13" s="699"/>
    </row>
    <row r="14" spans="2:10" ht="22.5" customHeight="1" x14ac:dyDescent="0.35">
      <c r="B14" s="697" t="s">
        <v>65</v>
      </c>
      <c r="C14" s="698"/>
      <c r="D14" s="698"/>
      <c r="E14" s="698"/>
      <c r="F14" s="698"/>
      <c r="G14" s="698"/>
      <c r="H14" s="698"/>
      <c r="I14" s="698"/>
      <c r="J14" s="699"/>
    </row>
    <row r="15" spans="2:10" ht="22.5" customHeight="1" x14ac:dyDescent="0.25">
      <c r="B15" s="27"/>
      <c r="J15" s="26"/>
    </row>
    <row r="16" spans="2:10" ht="22.5" customHeight="1" x14ac:dyDescent="0.25">
      <c r="B16" s="27"/>
      <c r="J16" s="26"/>
    </row>
    <row r="17" spans="2:10" ht="22.5" customHeight="1" x14ac:dyDescent="0.25">
      <c r="B17" s="27"/>
      <c r="J17" s="26"/>
    </row>
    <row r="18" spans="2:10" ht="22.5" customHeight="1" x14ac:dyDescent="0.25">
      <c r="B18" s="27"/>
      <c r="J18" s="26"/>
    </row>
    <row r="19" spans="2:10" ht="22.5" customHeight="1" x14ac:dyDescent="0.25">
      <c r="B19" s="27"/>
      <c r="J19" s="26"/>
    </row>
    <row r="20" spans="2:10" ht="52.5" customHeight="1" x14ac:dyDescent="0.4">
      <c r="B20" s="700" t="s">
        <v>1702</v>
      </c>
      <c r="C20" s="701"/>
      <c r="D20" s="701"/>
      <c r="E20" s="701"/>
      <c r="F20" s="701"/>
      <c r="G20" s="701"/>
      <c r="H20" s="701"/>
      <c r="I20" s="701"/>
      <c r="J20" s="702"/>
    </row>
    <row r="21" spans="2:10" ht="52.5" customHeight="1" x14ac:dyDescent="0.4">
      <c r="B21" s="678"/>
      <c r="C21" s="679"/>
      <c r="D21" s="679"/>
      <c r="E21" s="679"/>
      <c r="F21" s="679"/>
      <c r="G21" s="679"/>
      <c r="H21" s="679"/>
      <c r="I21" s="679"/>
      <c r="J21" s="680"/>
    </row>
    <row r="22" spans="2:10" ht="52.5" customHeight="1" x14ac:dyDescent="0.4">
      <c r="B22" s="678"/>
      <c r="C22" s="679"/>
      <c r="D22" s="679"/>
      <c r="E22" s="679"/>
      <c r="F22" s="679"/>
      <c r="G22" s="679"/>
      <c r="H22" s="679"/>
      <c r="I22" s="679"/>
      <c r="J22" s="680"/>
    </row>
    <row r="23" spans="2:10" ht="22.5" customHeight="1" x14ac:dyDescent="0.2">
      <c r="B23" s="691" t="s">
        <v>1</v>
      </c>
      <c r="C23" s="692"/>
      <c r="D23" s="692"/>
      <c r="E23" s="692"/>
      <c r="F23" s="692"/>
      <c r="G23" s="692"/>
      <c r="H23" s="692"/>
      <c r="I23" s="692"/>
      <c r="J23" s="693"/>
    </row>
    <row r="24" spans="2:10" ht="28.5" customHeight="1" x14ac:dyDescent="0.2">
      <c r="B24" s="691"/>
      <c r="C24" s="692"/>
      <c r="D24" s="692"/>
      <c r="E24" s="692"/>
      <c r="F24" s="692"/>
      <c r="G24" s="692"/>
      <c r="H24" s="692"/>
      <c r="I24" s="692"/>
      <c r="J24" s="693"/>
    </row>
    <row r="25" spans="2:10" ht="28.5" customHeight="1" x14ac:dyDescent="0.25">
      <c r="B25" s="27"/>
      <c r="E25" s="14"/>
      <c r="F25" s="14"/>
      <c r="G25" s="31"/>
      <c r="H25" s="31"/>
      <c r="I25" s="31"/>
      <c r="J25" s="32"/>
    </row>
    <row r="26" spans="2:10" ht="28.5" customHeight="1" x14ac:dyDescent="0.25">
      <c r="B26" s="27"/>
      <c r="H26" s="31"/>
      <c r="I26" s="31"/>
      <c r="J26" s="32"/>
    </row>
    <row r="27" spans="2:10" ht="28.5" customHeight="1" x14ac:dyDescent="0.25">
      <c r="B27" s="27"/>
      <c r="H27" s="33"/>
      <c r="I27" s="34"/>
      <c r="J27" s="35"/>
    </row>
    <row r="28" spans="2:10" ht="28.5" customHeight="1" x14ac:dyDescent="0.25">
      <c r="B28" s="27"/>
      <c r="H28" s="33"/>
      <c r="I28" s="34"/>
      <c r="J28" s="35"/>
    </row>
    <row r="29" spans="2:10" ht="22.5" customHeight="1" x14ac:dyDescent="0.25">
      <c r="B29" s="27"/>
      <c r="C29" s="29"/>
      <c r="D29" s="36"/>
      <c r="E29" s="30"/>
      <c r="F29" s="30"/>
      <c r="G29" s="37"/>
      <c r="H29" s="37"/>
      <c r="I29" s="37"/>
      <c r="J29" s="38"/>
    </row>
    <row r="30" spans="2:10" s="173" customFormat="1" ht="30" customHeight="1" x14ac:dyDescent="0.25">
      <c r="B30" s="167"/>
      <c r="C30" s="168" t="s">
        <v>67</v>
      </c>
      <c r="D30" s="169" t="s">
        <v>84</v>
      </c>
      <c r="E30" s="142"/>
      <c r="F30" s="142"/>
      <c r="G30" s="170"/>
      <c r="H30" s="171"/>
      <c r="I30" s="171"/>
      <c r="J30" s="172"/>
    </row>
    <row r="31" spans="2:10" s="173" customFormat="1" ht="30" customHeight="1" x14ac:dyDescent="0.25">
      <c r="B31" s="167"/>
      <c r="C31" s="168" t="s">
        <v>66</v>
      </c>
      <c r="D31" s="169" t="s">
        <v>204</v>
      </c>
      <c r="E31" s="174"/>
      <c r="F31" s="169"/>
      <c r="G31" s="169"/>
      <c r="H31" s="175"/>
      <c r="I31" s="169"/>
      <c r="J31" s="176"/>
    </row>
    <row r="32" spans="2:10" s="173" customFormat="1" ht="30" customHeight="1" x14ac:dyDescent="0.25">
      <c r="B32" s="167"/>
      <c r="C32" s="177"/>
      <c r="D32" s="169"/>
      <c r="E32" s="174"/>
      <c r="F32" s="169"/>
      <c r="G32" s="169"/>
      <c r="H32" s="175"/>
      <c r="I32" s="169"/>
      <c r="J32" s="176"/>
    </row>
    <row r="33" spans="2:12" ht="22.5" customHeight="1" x14ac:dyDescent="0.25">
      <c r="B33" s="27"/>
      <c r="C33" s="28"/>
      <c r="D33" s="28"/>
      <c r="E33" s="28"/>
      <c r="F33" s="28"/>
      <c r="G33" s="28"/>
      <c r="H33" s="28"/>
      <c r="J33" s="26"/>
    </row>
    <row r="34" spans="2:12" ht="22.5" customHeight="1" x14ac:dyDescent="0.25">
      <c r="B34" s="27"/>
      <c r="C34" s="28"/>
      <c r="D34" s="28"/>
      <c r="E34" s="28"/>
      <c r="F34" s="28"/>
      <c r="G34" s="28"/>
      <c r="H34" s="28"/>
      <c r="J34" s="26"/>
    </row>
    <row r="35" spans="2:12" ht="22.5" customHeight="1" x14ac:dyDescent="0.25">
      <c r="B35" s="27"/>
      <c r="C35" s="28"/>
      <c r="D35" s="28"/>
      <c r="E35" s="28"/>
      <c r="F35" s="28"/>
      <c r="G35" s="28"/>
      <c r="J35" s="26"/>
    </row>
    <row r="36" spans="2:12" ht="15" x14ac:dyDescent="0.25">
      <c r="B36" s="27"/>
      <c r="C36" s="28"/>
      <c r="D36" s="28"/>
      <c r="E36" s="28"/>
      <c r="F36" s="28"/>
      <c r="G36" s="28"/>
      <c r="J36" s="26"/>
    </row>
    <row r="37" spans="2:12" ht="15" x14ac:dyDescent="0.25">
      <c r="B37" s="27"/>
      <c r="C37" s="28"/>
      <c r="D37" s="28"/>
      <c r="E37" s="28"/>
      <c r="F37" s="28"/>
      <c r="G37" s="28"/>
      <c r="J37" s="26"/>
    </row>
    <row r="38" spans="2:12" ht="15" x14ac:dyDescent="0.25">
      <c r="B38" s="27"/>
      <c r="C38" s="28"/>
      <c r="D38" s="28"/>
      <c r="E38" s="28"/>
      <c r="F38" s="28"/>
      <c r="G38" s="28"/>
      <c r="J38" s="26"/>
    </row>
    <row r="39" spans="2:12" ht="15" x14ac:dyDescent="0.25">
      <c r="B39" s="27"/>
      <c r="C39" s="28"/>
      <c r="D39" s="28"/>
      <c r="E39" s="28"/>
      <c r="F39" s="28"/>
      <c r="G39" s="28"/>
      <c r="J39" s="26"/>
    </row>
    <row r="40" spans="2:12" ht="15" x14ac:dyDescent="0.25">
      <c r="B40" s="27"/>
      <c r="C40" s="28"/>
      <c r="D40" s="28"/>
      <c r="E40" s="28"/>
      <c r="F40" s="28"/>
      <c r="G40" s="28"/>
      <c r="J40" s="26"/>
    </row>
    <row r="41" spans="2:12" ht="8.25" customHeight="1" x14ac:dyDescent="0.25">
      <c r="B41" s="27"/>
      <c r="C41" s="28"/>
      <c r="D41" s="28"/>
      <c r="E41" s="28"/>
      <c r="F41" s="28"/>
      <c r="G41" s="28"/>
      <c r="J41" s="26"/>
    </row>
    <row r="42" spans="2:12" ht="22.5" customHeight="1" x14ac:dyDescent="0.25">
      <c r="B42" s="27"/>
      <c r="C42" s="28"/>
      <c r="D42" s="28"/>
      <c r="E42" s="28"/>
      <c r="F42" s="28"/>
      <c r="G42" s="28"/>
      <c r="I42" s="22"/>
      <c r="J42" s="26"/>
    </row>
    <row r="43" spans="2:12" ht="22.5" customHeight="1" x14ac:dyDescent="0.25">
      <c r="B43" s="27"/>
      <c r="C43" s="28"/>
      <c r="D43" s="28"/>
      <c r="E43" s="28"/>
      <c r="F43" s="28"/>
      <c r="G43" s="28"/>
      <c r="I43" s="40"/>
      <c r="J43" s="26"/>
    </row>
    <row r="44" spans="2:12" ht="22.5" customHeight="1" x14ac:dyDescent="0.2">
      <c r="B44" s="41"/>
      <c r="C44" s="42"/>
      <c r="D44" s="43"/>
      <c r="E44" s="43"/>
      <c r="F44" s="43"/>
      <c r="G44" s="43"/>
      <c r="H44" s="43"/>
      <c r="I44" s="43"/>
      <c r="J44" s="44"/>
    </row>
    <row r="45" spans="2:12" x14ac:dyDescent="0.2">
      <c r="C45" s="45"/>
    </row>
    <row r="46" spans="2:12" ht="24.75" customHeight="1" x14ac:dyDescent="0.2">
      <c r="B46" s="46"/>
      <c r="C46" s="47"/>
      <c r="D46" s="48"/>
      <c r="E46" s="48"/>
      <c r="F46" s="48"/>
      <c r="G46" s="48"/>
      <c r="H46" s="48"/>
      <c r="I46" s="48"/>
      <c r="J46" s="49"/>
      <c r="L46" s="50"/>
    </row>
    <row r="47" spans="2:12" ht="24.75" customHeight="1" x14ac:dyDescent="0.25">
      <c r="B47" s="21"/>
      <c r="C47" s="39" t="s">
        <v>62</v>
      </c>
      <c r="D47" s="56" t="s">
        <v>187</v>
      </c>
      <c r="E47" s="51"/>
      <c r="G47" s="52"/>
      <c r="J47" s="26"/>
    </row>
    <row r="48" spans="2:12" ht="24.75" customHeight="1" x14ac:dyDescent="0.25">
      <c r="B48" s="21"/>
      <c r="C48" s="30" t="s">
        <v>63</v>
      </c>
      <c r="D48" s="56" t="s">
        <v>1692</v>
      </c>
      <c r="E48" s="51"/>
      <c r="F48" s="51"/>
      <c r="J48" s="26"/>
    </row>
    <row r="49" spans="2:10" ht="24.75" customHeight="1" x14ac:dyDescent="0.25">
      <c r="B49" s="21"/>
      <c r="C49" s="30" t="s">
        <v>41</v>
      </c>
      <c r="D49" s="57">
        <f>BDI!I36</f>
        <v>0.2676</v>
      </c>
      <c r="E49" s="14"/>
      <c r="F49" s="14"/>
      <c r="J49" s="26"/>
    </row>
    <row r="50" spans="2:10" ht="24.75" customHeight="1" x14ac:dyDescent="0.25">
      <c r="B50" s="21"/>
      <c r="C50" s="30"/>
      <c r="D50" s="58"/>
      <c r="E50" s="51"/>
      <c r="F50" s="51"/>
      <c r="J50" s="26"/>
    </row>
    <row r="51" spans="2:10" ht="24.75" customHeight="1" x14ac:dyDescent="0.2">
      <c r="B51" s="41"/>
      <c r="C51" s="43"/>
      <c r="D51" s="43"/>
      <c r="E51" s="43"/>
      <c r="F51" s="43"/>
      <c r="G51" s="43"/>
      <c r="H51" s="43"/>
      <c r="I51" s="43"/>
      <c r="J51" s="44"/>
    </row>
  </sheetData>
  <mergeCells count="10">
    <mergeCell ref="B23:J24"/>
    <mergeCell ref="B3:J3"/>
    <mergeCell ref="B11:J11"/>
    <mergeCell ref="B13:J13"/>
    <mergeCell ref="B20:J20"/>
    <mergeCell ref="B14:J14"/>
    <mergeCell ref="B4:J4"/>
    <mergeCell ref="B6:J6"/>
    <mergeCell ref="B8:J8"/>
    <mergeCell ref="B9:J9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58" orientation="portrait" r:id="rId1"/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I29"/>
  <sheetViews>
    <sheetView showGridLines="0" view="pageBreakPreview" topLeftCell="A10" zoomScale="70" zoomScaleNormal="70" zoomScaleSheetLayoutView="70" workbookViewId="0">
      <selection activeCell="B6" sqref="B6:I6"/>
    </sheetView>
  </sheetViews>
  <sheetFormatPr defaultRowHeight="15" x14ac:dyDescent="0.25"/>
  <cols>
    <col min="1" max="1" width="2.7109375" style="108" customWidth="1"/>
    <col min="2" max="2" width="14.42578125" style="111" customWidth="1"/>
    <col min="3" max="3" width="27.7109375" style="111" bestFit="1" customWidth="1"/>
    <col min="4" max="4" width="20.7109375" style="109" customWidth="1"/>
    <col min="5" max="5" width="20.7109375" style="648" customWidth="1"/>
    <col min="6" max="6" width="20.7109375" style="649" customWidth="1"/>
    <col min="7" max="7" width="20.7109375" style="650" customWidth="1"/>
    <col min="8" max="8" width="33.42578125" style="651" customWidth="1"/>
    <col min="9" max="9" width="24.5703125" style="108" customWidth="1"/>
    <col min="10" max="10" width="2.42578125" style="108" customWidth="1"/>
    <col min="11" max="11" width="11" style="108" customWidth="1"/>
    <col min="12" max="12" width="9.28515625" style="108" bestFit="1" customWidth="1"/>
    <col min="13" max="14" width="9.140625" style="108"/>
    <col min="15" max="15" width="135.42578125" style="108" customWidth="1"/>
    <col min="16" max="16384" width="9.140625" style="108"/>
  </cols>
  <sheetData>
    <row r="1" spans="1:9" s="16" customFormat="1" ht="16.5" customHeight="1" x14ac:dyDescent="0.2">
      <c r="B1" s="103"/>
      <c r="C1" s="103"/>
      <c r="F1" s="634"/>
      <c r="G1" s="635"/>
      <c r="H1" s="113"/>
    </row>
    <row r="2" spans="1:9" s="16" customFormat="1" ht="14.25" x14ac:dyDescent="0.2">
      <c r="B2" s="103"/>
      <c r="C2" s="103"/>
      <c r="F2" s="634"/>
      <c r="G2" s="635"/>
      <c r="H2" s="113"/>
    </row>
    <row r="3" spans="1:9" s="16" customFormat="1" ht="23.25" x14ac:dyDescent="0.35">
      <c r="B3" s="694"/>
      <c r="C3" s="695"/>
      <c r="D3" s="695"/>
      <c r="E3" s="695"/>
      <c r="F3" s="695"/>
      <c r="G3" s="695"/>
      <c r="H3" s="695"/>
      <c r="I3" s="696"/>
    </row>
    <row r="4" spans="1:9" s="112" customFormat="1" ht="23.25" x14ac:dyDescent="0.35">
      <c r="B4" s="703" t="s">
        <v>84</v>
      </c>
      <c r="C4" s="704"/>
      <c r="D4" s="704"/>
      <c r="E4" s="704"/>
      <c r="F4" s="704"/>
      <c r="G4" s="704"/>
      <c r="H4" s="704"/>
      <c r="I4" s="705"/>
    </row>
    <row r="5" spans="1:9" s="16" customFormat="1" ht="20.25" x14ac:dyDescent="0.3">
      <c r="B5" s="740"/>
      <c r="C5" s="741"/>
      <c r="D5" s="741"/>
      <c r="E5" s="741"/>
      <c r="F5" s="741"/>
      <c r="G5" s="741"/>
      <c r="H5" s="741"/>
      <c r="I5" s="742"/>
    </row>
    <row r="6" spans="1:9" s="112" customFormat="1" ht="20.25" x14ac:dyDescent="0.25">
      <c r="B6" s="743"/>
      <c r="C6" s="744"/>
      <c r="D6" s="744"/>
      <c r="E6" s="744"/>
      <c r="F6" s="744"/>
      <c r="G6" s="744"/>
      <c r="H6" s="744"/>
      <c r="I6" s="745"/>
    </row>
    <row r="7" spans="1:9" s="112" customFormat="1" ht="20.25" x14ac:dyDescent="0.25">
      <c r="B7" s="743"/>
      <c r="C7" s="744"/>
      <c r="D7" s="744"/>
      <c r="E7" s="744"/>
      <c r="F7" s="744"/>
      <c r="G7" s="744"/>
      <c r="H7" s="744"/>
      <c r="I7" s="745"/>
    </row>
    <row r="8" spans="1:9" s="16" customFormat="1" ht="20.25" x14ac:dyDescent="0.3">
      <c r="B8" s="104"/>
      <c r="C8" s="735"/>
      <c r="D8" s="735"/>
      <c r="E8" s="735"/>
      <c r="F8" s="735"/>
      <c r="G8" s="735"/>
      <c r="H8" s="735"/>
      <c r="I8" s="736"/>
    </row>
    <row r="9" spans="1:9" s="16" customFormat="1" ht="14.25" x14ac:dyDescent="0.2">
      <c r="F9" s="634"/>
      <c r="G9" s="635"/>
      <c r="H9" s="113"/>
    </row>
    <row r="10" spans="1:9" s="106" customFormat="1" ht="30.75" customHeight="1" x14ac:dyDescent="0.2">
      <c r="A10" s="16"/>
      <c r="B10" s="737" t="s">
        <v>1683</v>
      </c>
      <c r="C10" s="738"/>
      <c r="D10" s="738"/>
      <c r="E10" s="738"/>
      <c r="F10" s="738"/>
      <c r="G10" s="738"/>
      <c r="H10" s="738"/>
      <c r="I10" s="739"/>
    </row>
    <row r="12" spans="1:9" s="149" customFormat="1" ht="23.25" customHeight="1" x14ac:dyDescent="0.25">
      <c r="A12" s="144"/>
      <c r="B12" s="145"/>
      <c r="C12" s="146" t="s">
        <v>66</v>
      </c>
      <c r="D12" s="636">
        <f>_ORÇAMENTO!D10</f>
        <v>0</v>
      </c>
      <c r="E12" s="148"/>
      <c r="F12" s="637"/>
      <c r="G12" s="638"/>
      <c r="H12" s="639" t="s">
        <v>52</v>
      </c>
      <c r="I12" s="640" t="str">
        <f>_ORÇAMENTO!H10</f>
        <v>ABRIL/2022</v>
      </c>
    </row>
    <row r="13" spans="1:9" s="149" customFormat="1" ht="23.25" customHeight="1" x14ac:dyDescent="0.25">
      <c r="A13" s="150"/>
      <c r="B13" s="151"/>
      <c r="C13" s="152"/>
      <c r="D13" s="153"/>
      <c r="E13" s="154"/>
      <c r="F13" s="641"/>
      <c r="G13" s="642"/>
      <c r="H13" s="643" t="s">
        <v>79</v>
      </c>
      <c r="I13" s="143" t="str">
        <f>_ORÇAMENTO!H11</f>
        <v xml:space="preserve"> ONERADO</v>
      </c>
    </row>
    <row r="14" spans="1:9" s="149" customFormat="1" ht="23.25" customHeight="1" x14ac:dyDescent="0.25">
      <c r="A14" s="150"/>
      <c r="B14" s="151"/>
      <c r="C14" s="152" t="s">
        <v>69</v>
      </c>
      <c r="D14" s="155" t="str">
        <f>_ORÇAMENTO!D12</f>
        <v>Aumento de patologias entre a data da proposta
e a assunção da Concessionária</v>
      </c>
      <c r="E14" s="154"/>
      <c r="F14" s="641"/>
      <c r="G14" s="642"/>
      <c r="H14" s="643" t="s">
        <v>23</v>
      </c>
      <c r="I14" s="644">
        <f>_ORÇAMENTO!H12</f>
        <v>0.2676</v>
      </c>
    </row>
    <row r="15" spans="1:9" s="149" customFormat="1" ht="23.25" customHeight="1" x14ac:dyDescent="0.25">
      <c r="A15" s="150"/>
      <c r="B15" s="156"/>
      <c r="C15" s="157"/>
      <c r="D15" s="157"/>
      <c r="E15" s="157"/>
      <c r="F15" s="645"/>
      <c r="G15" s="646"/>
      <c r="H15" s="647"/>
      <c r="I15" s="159"/>
    </row>
    <row r="16" spans="1:9" ht="18" customHeight="1" x14ac:dyDescent="0.25"/>
    <row r="17" spans="2:9" s="653" customFormat="1" ht="25.5" customHeight="1" x14ac:dyDescent="0.25">
      <c r="B17" s="887" t="s">
        <v>1684</v>
      </c>
      <c r="C17" s="887" t="s">
        <v>1685</v>
      </c>
      <c r="D17" s="890" t="s">
        <v>1686</v>
      </c>
      <c r="E17" s="923"/>
      <c r="F17" s="890" t="s">
        <v>1687</v>
      </c>
      <c r="G17" s="891"/>
      <c r="H17" s="893" t="s">
        <v>1688</v>
      </c>
      <c r="I17" s="893"/>
    </row>
    <row r="18" spans="2:9" s="653" customFormat="1" ht="25.5" customHeight="1" x14ac:dyDescent="0.25">
      <c r="B18" s="888"/>
      <c r="C18" s="889"/>
      <c r="D18" s="654" t="s">
        <v>1674</v>
      </c>
      <c r="E18" s="660" t="s">
        <v>1675</v>
      </c>
      <c r="F18" s="660" t="s">
        <v>1674</v>
      </c>
      <c r="G18" s="655" t="s">
        <v>1675</v>
      </c>
      <c r="H18" s="893"/>
      <c r="I18" s="893"/>
    </row>
    <row r="19" spans="2:9" s="653" customFormat="1" ht="24.95" customHeight="1" x14ac:dyDescent="0.25">
      <c r="B19" s="925" t="s">
        <v>1689</v>
      </c>
      <c r="C19" s="626" t="s">
        <v>1690</v>
      </c>
      <c r="D19" s="661">
        <v>44652</v>
      </c>
      <c r="E19" s="662">
        <v>459.16800000000001</v>
      </c>
      <c r="F19" s="661">
        <v>44774</v>
      </c>
      <c r="G19" s="663">
        <v>488.81599999999997</v>
      </c>
      <c r="H19" s="927">
        <f>TRUNC((G19/E19)-1,4)</f>
        <v>6.4500000000000002E-2</v>
      </c>
      <c r="I19" s="927"/>
    </row>
    <row r="20" spans="2:9" s="653" customFormat="1" ht="24.95" customHeight="1" x14ac:dyDescent="0.25">
      <c r="B20" s="926"/>
      <c r="C20" s="626" t="s">
        <v>1656</v>
      </c>
      <c r="D20" s="661">
        <v>44652</v>
      </c>
      <c r="E20" s="664">
        <v>491.87</v>
      </c>
      <c r="F20" s="661">
        <v>44774</v>
      </c>
      <c r="G20" s="663">
        <v>527.26599999999996</v>
      </c>
      <c r="H20" s="927">
        <f t="shared" ref="H20:H28" si="0">TRUNC((G20/E20)-1,4)</f>
        <v>7.1900000000000006E-2</v>
      </c>
      <c r="I20" s="927"/>
    </row>
    <row r="21" spans="2:9" s="653" customFormat="1" ht="24.95" customHeight="1" x14ac:dyDescent="0.25">
      <c r="B21" s="926"/>
      <c r="C21" s="626" t="s">
        <v>1655</v>
      </c>
      <c r="D21" s="661">
        <v>44652</v>
      </c>
      <c r="E21" s="662">
        <v>377.024</v>
      </c>
      <c r="F21" s="661">
        <v>44774</v>
      </c>
      <c r="G21" s="663">
        <v>399.94400000000002</v>
      </c>
      <c r="H21" s="927">
        <f t="shared" si="0"/>
        <v>6.0699999999999997E-2</v>
      </c>
      <c r="I21" s="927"/>
    </row>
    <row r="22" spans="2:9" s="653" customFormat="1" ht="24.95" customHeight="1" x14ac:dyDescent="0.25">
      <c r="B22" s="926"/>
      <c r="C22" s="626" t="s">
        <v>1661</v>
      </c>
      <c r="D22" s="661">
        <v>44652</v>
      </c>
      <c r="E22" s="662">
        <v>173.14699999999999</v>
      </c>
      <c r="F22" s="661">
        <v>44774</v>
      </c>
      <c r="G22" s="663">
        <v>183.73599999999999</v>
      </c>
      <c r="H22" s="927">
        <f t="shared" si="0"/>
        <v>6.1100000000000002E-2</v>
      </c>
      <c r="I22" s="927"/>
    </row>
    <row r="23" spans="2:9" s="653" customFormat="1" ht="24.95" customHeight="1" x14ac:dyDescent="0.25">
      <c r="B23" s="926"/>
      <c r="C23" s="626" t="s">
        <v>1662</v>
      </c>
      <c r="D23" s="661">
        <v>44652</v>
      </c>
      <c r="E23" s="662">
        <v>990.54300000000001</v>
      </c>
      <c r="F23" s="661">
        <v>44774</v>
      </c>
      <c r="G23" s="663">
        <v>1044.6790000000001</v>
      </c>
      <c r="H23" s="927">
        <f t="shared" si="0"/>
        <v>5.4600000000000003E-2</v>
      </c>
      <c r="I23" s="927"/>
    </row>
    <row r="24" spans="2:9" s="653" customFormat="1" ht="24.95" customHeight="1" x14ac:dyDescent="0.25">
      <c r="B24" s="926"/>
      <c r="C24" s="626" t="s">
        <v>1663</v>
      </c>
      <c r="D24" s="661">
        <v>44652</v>
      </c>
      <c r="E24" s="662">
        <v>133.16499999999999</v>
      </c>
      <c r="F24" s="661">
        <v>44774</v>
      </c>
      <c r="G24" s="663">
        <v>137.87799999999999</v>
      </c>
      <c r="H24" s="927">
        <f t="shared" si="0"/>
        <v>3.5299999999999998E-2</v>
      </c>
      <c r="I24" s="927"/>
    </row>
    <row r="25" spans="2:9" s="665" customFormat="1" ht="24.95" customHeight="1" x14ac:dyDescent="0.25">
      <c r="B25" s="926"/>
      <c r="C25" s="626" t="s">
        <v>1658</v>
      </c>
      <c r="D25" s="661">
        <v>44652</v>
      </c>
      <c r="E25" s="662">
        <v>1278.4829999999999</v>
      </c>
      <c r="F25" s="661">
        <v>44774</v>
      </c>
      <c r="G25" s="662">
        <v>1227.4169999999999</v>
      </c>
      <c r="H25" s="924">
        <f t="shared" si="0"/>
        <v>-3.9899999999999998E-2</v>
      </c>
      <c r="I25" s="924"/>
    </row>
    <row r="26" spans="2:9" ht="24.95" customHeight="1" x14ac:dyDescent="0.25">
      <c r="B26" s="926"/>
      <c r="C26" s="626" t="s">
        <v>1657</v>
      </c>
      <c r="D26" s="661">
        <v>44652</v>
      </c>
      <c r="E26" s="662">
        <v>1101.4780000000001</v>
      </c>
      <c r="F26" s="661">
        <v>44774</v>
      </c>
      <c r="G26" s="662">
        <v>1071.537</v>
      </c>
      <c r="H26" s="924">
        <f t="shared" si="0"/>
        <v>-2.7099999999999999E-2</v>
      </c>
      <c r="I26" s="924"/>
    </row>
    <row r="27" spans="2:9" ht="24.95" customHeight="1" x14ac:dyDescent="0.25">
      <c r="B27" s="926"/>
      <c r="C27" s="626" t="s">
        <v>1659</v>
      </c>
      <c r="D27" s="661">
        <v>44652</v>
      </c>
      <c r="E27" s="662">
        <v>181.44300000000001</v>
      </c>
      <c r="F27" s="661">
        <v>44774</v>
      </c>
      <c r="G27" s="662">
        <v>176.125</v>
      </c>
      <c r="H27" s="924">
        <f t="shared" si="0"/>
        <v>-2.93E-2</v>
      </c>
      <c r="I27" s="924"/>
    </row>
    <row r="28" spans="2:9" ht="24.95" customHeight="1" x14ac:dyDescent="0.25">
      <c r="B28" s="926"/>
      <c r="C28" s="626" t="s">
        <v>1660</v>
      </c>
      <c r="D28" s="661">
        <v>44652</v>
      </c>
      <c r="E28" s="662">
        <v>179.488</v>
      </c>
      <c r="F28" s="661">
        <v>44774</v>
      </c>
      <c r="G28" s="662">
        <v>178.90600000000001</v>
      </c>
      <c r="H28" s="924">
        <f t="shared" si="0"/>
        <v>-3.2000000000000002E-3</v>
      </c>
      <c r="I28" s="924"/>
    </row>
    <row r="29" spans="2:9" ht="24.95" customHeight="1" x14ac:dyDescent="0.25"/>
  </sheetData>
  <mergeCells count="23">
    <mergeCell ref="H28:I28"/>
    <mergeCell ref="B19:B28"/>
    <mergeCell ref="H19:I19"/>
    <mergeCell ref="H20:I20"/>
    <mergeCell ref="H21:I21"/>
    <mergeCell ref="H22:I22"/>
    <mergeCell ref="H23:I23"/>
    <mergeCell ref="H24:I24"/>
    <mergeCell ref="H25:I25"/>
    <mergeCell ref="H26:I26"/>
    <mergeCell ref="H27:I27"/>
    <mergeCell ref="B10:I10"/>
    <mergeCell ref="B17:B18"/>
    <mergeCell ref="C17:C18"/>
    <mergeCell ref="D17:E17"/>
    <mergeCell ref="F17:G17"/>
    <mergeCell ref="H17:I18"/>
    <mergeCell ref="C8:I8"/>
    <mergeCell ref="B3:I3"/>
    <mergeCell ref="B4:I4"/>
    <mergeCell ref="B5:I5"/>
    <mergeCell ref="B6:I6"/>
    <mergeCell ref="B7:I7"/>
  </mergeCells>
  <pageMargins left="0.51181102362204722" right="0.51181102362204722" top="0.78740157480314965" bottom="0.78740157480314965" header="0.31496062992125984" footer="0.31496062992125984"/>
  <pageSetup paperSize="9" scale="4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4" tint="0.39997558519241921"/>
    <pageSetUpPr fitToPage="1"/>
  </sheetPr>
  <dimension ref="A1:K525"/>
  <sheetViews>
    <sheetView view="pageBreakPreview" zoomScale="60" zoomScaleNormal="100" workbookViewId="0">
      <selection activeCell="Q63" sqref="Q63"/>
    </sheetView>
  </sheetViews>
  <sheetFormatPr defaultRowHeight="15" x14ac:dyDescent="0.25"/>
  <cols>
    <col min="1" max="1" width="8.5703125" style="614" customWidth="1"/>
    <col min="2" max="2" width="76.5703125" style="614" customWidth="1"/>
    <col min="3" max="11" width="11.5703125" style="614" customWidth="1"/>
    <col min="12" max="16384" width="9.140625" style="614"/>
  </cols>
  <sheetData>
    <row r="1" spans="1:11" x14ac:dyDescent="0.25">
      <c r="A1" s="615" t="s">
        <v>445</v>
      </c>
      <c r="B1" s="929" t="s">
        <v>446</v>
      </c>
      <c r="C1" s="929"/>
      <c r="D1" s="929"/>
      <c r="E1" s="929"/>
      <c r="F1" s="929"/>
      <c r="G1" s="929"/>
      <c r="H1" s="929"/>
      <c r="I1" s="929"/>
      <c r="J1" s="929"/>
      <c r="K1" s="615" t="s">
        <v>447</v>
      </c>
    </row>
    <row r="2" spans="1:11" ht="12" customHeight="1" x14ac:dyDescent="0.25">
      <c r="B2" s="930" t="s">
        <v>448</v>
      </c>
      <c r="C2" s="930"/>
      <c r="D2" s="930"/>
      <c r="E2" s="930"/>
      <c r="F2" s="930"/>
      <c r="G2" s="930"/>
      <c r="H2" s="930"/>
      <c r="I2" s="930"/>
      <c r="J2" s="930"/>
    </row>
    <row r="3" spans="1:11" ht="45" customHeight="1" x14ac:dyDescent="0.25">
      <c r="A3" s="616" t="s">
        <v>449</v>
      </c>
      <c r="B3" s="616" t="s">
        <v>450</v>
      </c>
      <c r="C3" s="616" t="s">
        <v>451</v>
      </c>
      <c r="D3" s="616" t="s">
        <v>452</v>
      </c>
      <c r="E3" s="616" t="s">
        <v>453</v>
      </c>
      <c r="F3" s="616" t="s">
        <v>454</v>
      </c>
      <c r="G3" s="616" t="s">
        <v>455</v>
      </c>
      <c r="H3" s="616" t="s">
        <v>456</v>
      </c>
      <c r="I3" s="616" t="s">
        <v>457</v>
      </c>
      <c r="J3" s="616" t="s">
        <v>458</v>
      </c>
      <c r="K3" s="616" t="s">
        <v>459</v>
      </c>
    </row>
    <row r="4" spans="1:11" ht="9" customHeight="1" x14ac:dyDescent="0.25">
      <c r="A4" s="617" t="s">
        <v>460</v>
      </c>
      <c r="B4" s="618" t="s">
        <v>461</v>
      </c>
      <c r="C4" s="619">
        <v>58708.410799999998</v>
      </c>
      <c r="D4" s="619">
        <v>7.8277999999999999</v>
      </c>
      <c r="E4" s="619">
        <v>1.8111999999999999</v>
      </c>
      <c r="F4" s="619">
        <v>0</v>
      </c>
      <c r="G4" s="619">
        <v>5.8708</v>
      </c>
      <c r="H4" s="619">
        <v>0</v>
      </c>
      <c r="I4" s="619">
        <v>0</v>
      </c>
      <c r="J4" s="619">
        <v>15.5098</v>
      </c>
      <c r="K4" s="619">
        <v>9.6389999999999993</v>
      </c>
    </row>
    <row r="5" spans="1:11" ht="9" customHeight="1" x14ac:dyDescent="0.25">
      <c r="A5" s="617" t="s">
        <v>462</v>
      </c>
      <c r="B5" s="618" t="s">
        <v>463</v>
      </c>
      <c r="C5" s="619">
        <v>63724.957000000002</v>
      </c>
      <c r="D5" s="619">
        <v>8.4967000000000006</v>
      </c>
      <c r="E5" s="619">
        <v>1.9659</v>
      </c>
      <c r="F5" s="619">
        <v>0</v>
      </c>
      <c r="G5" s="619">
        <v>6.3724999999999996</v>
      </c>
      <c r="H5" s="619">
        <v>0</v>
      </c>
      <c r="I5" s="619">
        <v>0</v>
      </c>
      <c r="J5" s="619">
        <v>16.835100000000001</v>
      </c>
      <c r="K5" s="619">
        <v>10.4626</v>
      </c>
    </row>
    <row r="6" spans="1:11" ht="9" customHeight="1" x14ac:dyDescent="0.25">
      <c r="A6" s="617" t="s">
        <v>464</v>
      </c>
      <c r="B6" s="618" t="s">
        <v>465</v>
      </c>
      <c r="C6" s="619">
        <v>69932.339300000007</v>
      </c>
      <c r="D6" s="619">
        <v>9.3242999999999991</v>
      </c>
      <c r="E6" s="619">
        <v>2.1574</v>
      </c>
      <c r="F6" s="619">
        <v>0</v>
      </c>
      <c r="G6" s="619">
        <v>6.9931999999999999</v>
      </c>
      <c r="H6" s="619">
        <v>0</v>
      </c>
      <c r="I6" s="619">
        <v>0</v>
      </c>
      <c r="J6" s="619">
        <v>18.474900000000002</v>
      </c>
      <c r="K6" s="619">
        <v>11.4817</v>
      </c>
    </row>
    <row r="7" spans="1:11" ht="9" customHeight="1" x14ac:dyDescent="0.25">
      <c r="A7" s="617" t="s">
        <v>466</v>
      </c>
      <c r="B7" s="618" t="s">
        <v>467</v>
      </c>
      <c r="C7" s="619">
        <v>70345.146900000007</v>
      </c>
      <c r="D7" s="619">
        <v>9.3794000000000004</v>
      </c>
      <c r="E7" s="619">
        <v>2.1701000000000001</v>
      </c>
      <c r="F7" s="619">
        <v>0</v>
      </c>
      <c r="G7" s="619">
        <v>7.0345000000000004</v>
      </c>
      <c r="H7" s="619">
        <v>0</v>
      </c>
      <c r="I7" s="619">
        <v>0</v>
      </c>
      <c r="J7" s="619">
        <v>18.584</v>
      </c>
      <c r="K7" s="619">
        <v>11.5495</v>
      </c>
    </row>
    <row r="8" spans="1:11" ht="9" customHeight="1" x14ac:dyDescent="0.25">
      <c r="A8" s="617" t="s">
        <v>468</v>
      </c>
      <c r="B8" s="618" t="s">
        <v>469</v>
      </c>
      <c r="C8" s="619">
        <v>73029.144199999995</v>
      </c>
      <c r="D8" s="619">
        <v>9.7371999999999996</v>
      </c>
      <c r="E8" s="619">
        <v>2.2528999999999999</v>
      </c>
      <c r="F8" s="619">
        <v>0</v>
      </c>
      <c r="G8" s="619">
        <v>7.3029000000000002</v>
      </c>
      <c r="H8" s="619">
        <v>0</v>
      </c>
      <c r="I8" s="619">
        <v>0</v>
      </c>
      <c r="J8" s="619">
        <v>19.292999999999999</v>
      </c>
      <c r="K8" s="619">
        <v>11.9901</v>
      </c>
    </row>
    <row r="9" spans="1:11" ht="9" customHeight="1" x14ac:dyDescent="0.25">
      <c r="A9" s="617" t="s">
        <v>470</v>
      </c>
      <c r="B9" s="618" t="s">
        <v>471</v>
      </c>
      <c r="C9" s="619">
        <v>2135.7570999999998</v>
      </c>
      <c r="D9" s="619">
        <v>0.36309999999999998</v>
      </c>
      <c r="E9" s="619">
        <v>7.9100000000000004E-2</v>
      </c>
      <c r="F9" s="619">
        <v>0</v>
      </c>
      <c r="G9" s="619">
        <v>0.21360000000000001</v>
      </c>
      <c r="H9" s="619">
        <v>0</v>
      </c>
      <c r="I9" s="619">
        <v>0</v>
      </c>
      <c r="J9" s="619">
        <v>0.65580000000000005</v>
      </c>
      <c r="K9" s="619">
        <v>0.44219999999999998</v>
      </c>
    </row>
    <row r="10" spans="1:11" ht="9" customHeight="1" x14ac:dyDescent="0.25">
      <c r="A10" s="617" t="s">
        <v>472</v>
      </c>
      <c r="B10" s="618" t="s">
        <v>473</v>
      </c>
      <c r="C10" s="619">
        <v>77968.868000000002</v>
      </c>
      <c r="D10" s="619">
        <v>6.2374999999999998</v>
      </c>
      <c r="E10" s="619">
        <v>1.4432</v>
      </c>
      <c r="F10" s="619">
        <v>0</v>
      </c>
      <c r="G10" s="619">
        <v>5.4577999999999998</v>
      </c>
      <c r="H10" s="619">
        <v>9.4810999999999996</v>
      </c>
      <c r="I10" s="619">
        <v>0</v>
      </c>
      <c r="J10" s="619">
        <v>22.619599999999998</v>
      </c>
      <c r="K10" s="619">
        <v>7.6806999999999999</v>
      </c>
    </row>
    <row r="11" spans="1:11" ht="9" customHeight="1" x14ac:dyDescent="0.25">
      <c r="A11" s="617" t="s">
        <v>474</v>
      </c>
      <c r="B11" s="618" t="s">
        <v>475</v>
      </c>
      <c r="C11" s="619">
        <v>2234.9268999999999</v>
      </c>
      <c r="D11" s="619">
        <v>2.0114000000000001</v>
      </c>
      <c r="E11" s="619">
        <v>0.13789999999999999</v>
      </c>
      <c r="F11" s="619">
        <v>0</v>
      </c>
      <c r="G11" s="619">
        <v>1.1174999999999999</v>
      </c>
      <c r="H11" s="619">
        <v>0</v>
      </c>
      <c r="I11" s="619">
        <v>0</v>
      </c>
      <c r="J11" s="619">
        <v>3.2667999999999999</v>
      </c>
      <c r="K11" s="619">
        <v>2.1493000000000002</v>
      </c>
    </row>
    <row r="12" spans="1:11" ht="9" customHeight="1" x14ac:dyDescent="0.25">
      <c r="A12" s="617" t="s">
        <v>476</v>
      </c>
      <c r="B12" s="618" t="s">
        <v>477</v>
      </c>
      <c r="C12" s="619">
        <v>653050.14179999998</v>
      </c>
      <c r="D12" s="619">
        <v>8.5032999999999994</v>
      </c>
      <c r="E12" s="619">
        <v>3.7890999999999999</v>
      </c>
      <c r="F12" s="619">
        <v>0</v>
      </c>
      <c r="G12" s="619">
        <v>18.896100000000001</v>
      </c>
      <c r="H12" s="619">
        <v>309.86860000000001</v>
      </c>
      <c r="I12" s="619">
        <v>122.28959999999999</v>
      </c>
      <c r="J12" s="619">
        <v>463.3467</v>
      </c>
      <c r="K12" s="619">
        <v>134.58199999999999</v>
      </c>
    </row>
    <row r="13" spans="1:11" ht="9" customHeight="1" x14ac:dyDescent="0.25">
      <c r="A13" s="617" t="s">
        <v>478</v>
      </c>
      <c r="B13" s="618" t="s">
        <v>479</v>
      </c>
      <c r="C13" s="619">
        <v>5770.2644</v>
      </c>
      <c r="D13" s="619">
        <v>0.86550000000000005</v>
      </c>
      <c r="E13" s="619">
        <v>0.1187</v>
      </c>
      <c r="F13" s="619">
        <v>0</v>
      </c>
      <c r="G13" s="619">
        <v>0.48089999999999999</v>
      </c>
      <c r="H13" s="619">
        <v>0</v>
      </c>
      <c r="I13" s="619">
        <v>0</v>
      </c>
      <c r="J13" s="619">
        <v>1.4651000000000001</v>
      </c>
      <c r="K13" s="619">
        <v>0.98419999999999996</v>
      </c>
    </row>
    <row r="14" spans="1:11" ht="9" customHeight="1" x14ac:dyDescent="0.25">
      <c r="A14" s="617" t="s">
        <v>480</v>
      </c>
      <c r="B14" s="618" t="s">
        <v>481</v>
      </c>
      <c r="C14" s="619">
        <v>1802.2363</v>
      </c>
      <c r="D14" s="619">
        <v>0.32440000000000002</v>
      </c>
      <c r="E14" s="619">
        <v>6.6699999999999995E-2</v>
      </c>
      <c r="F14" s="619">
        <v>0</v>
      </c>
      <c r="G14" s="619">
        <v>0.1802</v>
      </c>
      <c r="H14" s="619">
        <v>0</v>
      </c>
      <c r="I14" s="619">
        <v>0</v>
      </c>
      <c r="J14" s="619">
        <v>0.57130000000000003</v>
      </c>
      <c r="K14" s="619">
        <v>0.3911</v>
      </c>
    </row>
    <row r="15" spans="1:11" ht="9" customHeight="1" x14ac:dyDescent="0.25">
      <c r="A15" s="617" t="s">
        <v>482</v>
      </c>
      <c r="B15" s="618" t="s">
        <v>483</v>
      </c>
      <c r="C15" s="619">
        <v>1969653.3624</v>
      </c>
      <c r="D15" s="619">
        <v>157.57230000000001</v>
      </c>
      <c r="E15" s="619">
        <v>36.458300000000001</v>
      </c>
      <c r="F15" s="619">
        <v>0</v>
      </c>
      <c r="G15" s="619">
        <v>98.482699999999994</v>
      </c>
      <c r="H15" s="619">
        <v>0</v>
      </c>
      <c r="I15" s="619">
        <v>27.6343</v>
      </c>
      <c r="J15" s="619">
        <v>320.14760000000001</v>
      </c>
      <c r="K15" s="619">
        <v>221.66489999999999</v>
      </c>
    </row>
    <row r="16" spans="1:11" ht="9" customHeight="1" x14ac:dyDescent="0.25">
      <c r="A16" s="617" t="s">
        <v>484</v>
      </c>
      <c r="B16" s="618" t="s">
        <v>485</v>
      </c>
      <c r="C16" s="619">
        <v>46731.979399999997</v>
      </c>
      <c r="D16" s="619">
        <v>3.7385999999999999</v>
      </c>
      <c r="E16" s="619">
        <v>0.86499999999999999</v>
      </c>
      <c r="F16" s="619">
        <v>0</v>
      </c>
      <c r="G16" s="619">
        <v>3.2711999999999999</v>
      </c>
      <c r="H16" s="619">
        <v>0</v>
      </c>
      <c r="I16" s="619">
        <v>20.121700000000001</v>
      </c>
      <c r="J16" s="619">
        <v>27.996500000000001</v>
      </c>
      <c r="K16" s="619">
        <v>24.725300000000001</v>
      </c>
    </row>
    <row r="17" spans="1:11" ht="9" customHeight="1" x14ac:dyDescent="0.25">
      <c r="A17" s="617" t="s">
        <v>486</v>
      </c>
      <c r="B17" s="618" t="s">
        <v>487</v>
      </c>
      <c r="C17" s="619">
        <v>8753166.6989999991</v>
      </c>
      <c r="D17" s="619">
        <v>510.60140000000001</v>
      </c>
      <c r="E17" s="619">
        <v>157.5205</v>
      </c>
      <c r="F17" s="619">
        <v>63.825200000000002</v>
      </c>
      <c r="G17" s="619">
        <v>656.48749999999995</v>
      </c>
      <c r="H17" s="619">
        <v>109.9023</v>
      </c>
      <c r="I17" s="619">
        <v>36.223399999999998</v>
      </c>
      <c r="J17" s="619">
        <v>1534.5603000000001</v>
      </c>
      <c r="K17" s="619">
        <v>768.17049999999995</v>
      </c>
    </row>
    <row r="18" spans="1:11" ht="9" customHeight="1" x14ac:dyDescent="0.25">
      <c r="A18" s="617" t="s">
        <v>488</v>
      </c>
      <c r="B18" s="618" t="s">
        <v>489</v>
      </c>
      <c r="C18" s="619">
        <v>919382.02590000001</v>
      </c>
      <c r="D18" s="619">
        <v>64.356700000000004</v>
      </c>
      <c r="E18" s="619">
        <v>17.017800000000001</v>
      </c>
      <c r="F18" s="619">
        <v>0</v>
      </c>
      <c r="G18" s="619">
        <v>64.356700000000004</v>
      </c>
      <c r="H18" s="619">
        <v>50.630499999999998</v>
      </c>
      <c r="I18" s="619">
        <v>26.8781</v>
      </c>
      <c r="J18" s="619">
        <v>223.2398</v>
      </c>
      <c r="K18" s="619">
        <v>108.2526</v>
      </c>
    </row>
    <row r="19" spans="1:11" ht="9" customHeight="1" x14ac:dyDescent="0.25">
      <c r="A19" s="617" t="s">
        <v>490</v>
      </c>
      <c r="B19" s="618" t="s">
        <v>491</v>
      </c>
      <c r="C19" s="619">
        <v>298117.04639999999</v>
      </c>
      <c r="D19" s="619">
        <v>10.434100000000001</v>
      </c>
      <c r="E19" s="619">
        <v>9.6568000000000005</v>
      </c>
      <c r="F19" s="619">
        <v>0</v>
      </c>
      <c r="G19" s="619">
        <v>14.905900000000001</v>
      </c>
      <c r="H19" s="619">
        <v>0</v>
      </c>
      <c r="I19" s="619">
        <v>20.121700000000001</v>
      </c>
      <c r="J19" s="619">
        <v>55.118499999999997</v>
      </c>
      <c r="K19" s="619">
        <v>40.212600000000002</v>
      </c>
    </row>
    <row r="20" spans="1:11" ht="9" customHeight="1" x14ac:dyDescent="0.25">
      <c r="A20" s="617" t="s">
        <v>492</v>
      </c>
      <c r="B20" s="618" t="s">
        <v>493</v>
      </c>
      <c r="C20" s="619">
        <v>4964988.6849999996</v>
      </c>
      <c r="D20" s="619">
        <v>289.62430000000001</v>
      </c>
      <c r="E20" s="619">
        <v>89.349100000000007</v>
      </c>
      <c r="F20" s="619">
        <v>0</v>
      </c>
      <c r="G20" s="619">
        <v>413.7491</v>
      </c>
      <c r="H20" s="619">
        <v>553.77139999999997</v>
      </c>
      <c r="I20" s="619">
        <v>36.223399999999998</v>
      </c>
      <c r="J20" s="619">
        <v>1382.7173</v>
      </c>
      <c r="K20" s="619">
        <v>415.1968</v>
      </c>
    </row>
    <row r="21" spans="1:11" ht="9" customHeight="1" x14ac:dyDescent="0.25">
      <c r="A21" s="617" t="s">
        <v>494</v>
      </c>
      <c r="B21" s="618" t="s">
        <v>495</v>
      </c>
      <c r="C21" s="619">
        <v>319379.69809999998</v>
      </c>
      <c r="D21" s="619">
        <v>15.968999999999999</v>
      </c>
      <c r="E21" s="619">
        <v>5.6302000000000003</v>
      </c>
      <c r="F21" s="619">
        <v>0</v>
      </c>
      <c r="G21" s="619">
        <v>11.4064</v>
      </c>
      <c r="H21" s="619">
        <v>422.02249999999998</v>
      </c>
      <c r="I21" s="619">
        <v>0</v>
      </c>
      <c r="J21" s="619">
        <v>455.02809999999999</v>
      </c>
      <c r="K21" s="619">
        <v>21.5992</v>
      </c>
    </row>
    <row r="22" spans="1:11" ht="9" customHeight="1" x14ac:dyDescent="0.25">
      <c r="A22" s="617" t="s">
        <v>496</v>
      </c>
      <c r="B22" s="618" t="s">
        <v>497</v>
      </c>
      <c r="C22" s="619">
        <v>769916.86129999999</v>
      </c>
      <c r="D22" s="619">
        <v>34.646299999999997</v>
      </c>
      <c r="E22" s="619">
        <v>13.063599999999999</v>
      </c>
      <c r="F22" s="619">
        <v>0</v>
      </c>
      <c r="G22" s="619">
        <v>26.947099999999999</v>
      </c>
      <c r="H22" s="619">
        <v>0</v>
      </c>
      <c r="I22" s="619">
        <v>20.121700000000001</v>
      </c>
      <c r="J22" s="619">
        <v>94.778700000000001</v>
      </c>
      <c r="K22" s="619">
        <v>67.831599999999995</v>
      </c>
    </row>
    <row r="23" spans="1:11" ht="9" customHeight="1" x14ac:dyDescent="0.25">
      <c r="A23" s="617" t="s">
        <v>498</v>
      </c>
      <c r="B23" s="618" t="s">
        <v>499</v>
      </c>
      <c r="C23" s="619">
        <v>3700167.6129999999</v>
      </c>
      <c r="D23" s="619">
        <v>129.5059</v>
      </c>
      <c r="E23" s="619">
        <v>62.782600000000002</v>
      </c>
      <c r="F23" s="619">
        <v>0</v>
      </c>
      <c r="G23" s="619">
        <v>185.00839999999999</v>
      </c>
      <c r="H23" s="619">
        <v>82.152900000000002</v>
      </c>
      <c r="I23" s="619">
        <v>36.223399999999998</v>
      </c>
      <c r="J23" s="619">
        <v>495.67320000000001</v>
      </c>
      <c r="K23" s="619">
        <v>228.5119</v>
      </c>
    </row>
    <row r="24" spans="1:11" ht="9" customHeight="1" x14ac:dyDescent="0.25">
      <c r="A24" s="617" t="s">
        <v>500</v>
      </c>
      <c r="B24" s="618" t="s">
        <v>501</v>
      </c>
      <c r="C24" s="619">
        <v>6668.9547000000002</v>
      </c>
      <c r="D24" s="619">
        <v>0.53349999999999997</v>
      </c>
      <c r="E24" s="619">
        <v>0.1234</v>
      </c>
      <c r="F24" s="619">
        <v>0</v>
      </c>
      <c r="G24" s="619">
        <v>0.46679999999999999</v>
      </c>
      <c r="H24" s="619">
        <v>0</v>
      </c>
      <c r="I24" s="619">
        <v>20.121700000000001</v>
      </c>
      <c r="J24" s="619">
        <v>21.2454</v>
      </c>
      <c r="K24" s="619">
        <v>20.778600000000001</v>
      </c>
    </row>
    <row r="25" spans="1:11" ht="9" customHeight="1" x14ac:dyDescent="0.25">
      <c r="A25" s="617" t="s">
        <v>502</v>
      </c>
      <c r="B25" s="618" t="s">
        <v>503</v>
      </c>
      <c r="C25" s="619">
        <v>109969.8812</v>
      </c>
      <c r="D25" s="619">
        <v>6.2839999999999998</v>
      </c>
      <c r="E25" s="619">
        <v>1.9386000000000001</v>
      </c>
      <c r="F25" s="619">
        <v>0</v>
      </c>
      <c r="G25" s="619">
        <v>6.2839999999999998</v>
      </c>
      <c r="H25" s="619">
        <v>0</v>
      </c>
      <c r="I25" s="619">
        <v>36.223399999999998</v>
      </c>
      <c r="J25" s="619">
        <v>50.73</v>
      </c>
      <c r="K25" s="619">
        <v>44.445999999999998</v>
      </c>
    </row>
    <row r="26" spans="1:11" ht="9" customHeight="1" x14ac:dyDescent="0.25">
      <c r="A26" s="617" t="s">
        <v>504</v>
      </c>
      <c r="B26" s="618" t="s">
        <v>505</v>
      </c>
      <c r="C26" s="619">
        <v>28652.9094</v>
      </c>
      <c r="D26" s="619">
        <v>2.2921999999999998</v>
      </c>
      <c r="E26" s="619">
        <v>0.53039999999999998</v>
      </c>
      <c r="F26" s="619">
        <v>0</v>
      </c>
      <c r="G26" s="619">
        <v>2.0057</v>
      </c>
      <c r="H26" s="619">
        <v>0</v>
      </c>
      <c r="I26" s="619">
        <v>0</v>
      </c>
      <c r="J26" s="619">
        <v>4.8282999999999996</v>
      </c>
      <c r="K26" s="619">
        <v>2.8226</v>
      </c>
    </row>
    <row r="27" spans="1:11" ht="9" customHeight="1" x14ac:dyDescent="0.25">
      <c r="A27" s="617" t="s">
        <v>506</v>
      </c>
      <c r="B27" s="618" t="s">
        <v>507</v>
      </c>
      <c r="C27" s="619">
        <v>4075.8806</v>
      </c>
      <c r="D27" s="619">
        <v>0.3261</v>
      </c>
      <c r="E27" s="619">
        <v>7.5399999999999995E-2</v>
      </c>
      <c r="F27" s="619">
        <v>0</v>
      </c>
      <c r="G27" s="619">
        <v>0.36680000000000001</v>
      </c>
      <c r="H27" s="619">
        <v>11.2059</v>
      </c>
      <c r="I27" s="619">
        <v>20.121700000000001</v>
      </c>
      <c r="J27" s="619">
        <v>32.0959</v>
      </c>
      <c r="K27" s="619">
        <v>20.523199999999999</v>
      </c>
    </row>
    <row r="28" spans="1:11" ht="9" customHeight="1" x14ac:dyDescent="0.25">
      <c r="A28" s="617" t="s">
        <v>508</v>
      </c>
      <c r="B28" s="618" t="s">
        <v>509</v>
      </c>
      <c r="C28" s="619">
        <v>139839.11809999999</v>
      </c>
      <c r="D28" s="619">
        <v>7.9908000000000001</v>
      </c>
      <c r="E28" s="619">
        <v>2.4651999999999998</v>
      </c>
      <c r="F28" s="619">
        <v>0</v>
      </c>
      <c r="G28" s="619">
        <v>7.9908000000000001</v>
      </c>
      <c r="H28" s="619">
        <v>0</v>
      </c>
      <c r="I28" s="619">
        <v>36.223399999999998</v>
      </c>
      <c r="J28" s="619">
        <v>54.670200000000001</v>
      </c>
      <c r="K28" s="619">
        <v>46.679400000000001</v>
      </c>
    </row>
    <row r="29" spans="1:11" ht="9" customHeight="1" x14ac:dyDescent="0.25">
      <c r="A29" s="617" t="s">
        <v>510</v>
      </c>
      <c r="B29" s="618" t="s">
        <v>511</v>
      </c>
      <c r="C29" s="619">
        <v>12496.406800000001</v>
      </c>
      <c r="D29" s="619">
        <v>0.71409999999999996</v>
      </c>
      <c r="E29" s="619">
        <v>0.2203</v>
      </c>
      <c r="F29" s="619">
        <v>0</v>
      </c>
      <c r="G29" s="619">
        <v>0.71409999999999996</v>
      </c>
      <c r="H29" s="619">
        <v>0</v>
      </c>
      <c r="I29" s="619">
        <v>0</v>
      </c>
      <c r="J29" s="619">
        <v>1.6485000000000001</v>
      </c>
      <c r="K29" s="619">
        <v>0.93440000000000001</v>
      </c>
    </row>
    <row r="30" spans="1:11" ht="9" customHeight="1" x14ac:dyDescent="0.25">
      <c r="A30" s="617" t="s">
        <v>512</v>
      </c>
      <c r="B30" s="618" t="s">
        <v>513</v>
      </c>
      <c r="C30" s="619">
        <v>200663.93169999999</v>
      </c>
      <c r="D30" s="619">
        <v>16.053100000000001</v>
      </c>
      <c r="E30" s="619">
        <v>3.7143000000000002</v>
      </c>
      <c r="F30" s="619">
        <v>0</v>
      </c>
      <c r="G30" s="619">
        <v>14.0465</v>
      </c>
      <c r="H30" s="619">
        <v>0</v>
      </c>
      <c r="I30" s="619">
        <v>20.121700000000001</v>
      </c>
      <c r="J30" s="619">
        <v>53.935600000000001</v>
      </c>
      <c r="K30" s="619">
        <v>39.889099999999999</v>
      </c>
    </row>
    <row r="31" spans="1:11" ht="9" customHeight="1" x14ac:dyDescent="0.25">
      <c r="A31" s="617" t="s">
        <v>514</v>
      </c>
      <c r="B31" s="618" t="s">
        <v>515</v>
      </c>
      <c r="C31" s="619">
        <v>78310.789199999999</v>
      </c>
      <c r="D31" s="619">
        <v>4.4748999999999999</v>
      </c>
      <c r="E31" s="619">
        <v>1.3805000000000001</v>
      </c>
      <c r="F31" s="619">
        <v>0</v>
      </c>
      <c r="G31" s="619">
        <v>4.4748999999999999</v>
      </c>
      <c r="H31" s="619">
        <v>0</v>
      </c>
      <c r="I31" s="619">
        <v>36.223399999999998</v>
      </c>
      <c r="J31" s="619">
        <v>46.553699999999999</v>
      </c>
      <c r="K31" s="619">
        <v>42.078800000000001</v>
      </c>
    </row>
    <row r="32" spans="1:11" ht="9" customHeight="1" x14ac:dyDescent="0.25">
      <c r="A32" s="617" t="s">
        <v>516</v>
      </c>
      <c r="B32" s="618" t="s">
        <v>517</v>
      </c>
      <c r="C32" s="619">
        <v>111872.5561</v>
      </c>
      <c r="D32" s="619">
        <v>6.3926999999999996</v>
      </c>
      <c r="E32" s="619">
        <v>1.9722</v>
      </c>
      <c r="F32" s="619">
        <v>0</v>
      </c>
      <c r="G32" s="619">
        <v>6.3926999999999996</v>
      </c>
      <c r="H32" s="619">
        <v>0</v>
      </c>
      <c r="I32" s="619">
        <v>36.223399999999998</v>
      </c>
      <c r="J32" s="619">
        <v>50.981000000000002</v>
      </c>
      <c r="K32" s="619">
        <v>44.588299999999997</v>
      </c>
    </row>
    <row r="33" spans="1:11" ht="9" customHeight="1" x14ac:dyDescent="0.25">
      <c r="A33" s="617" t="s">
        <v>518</v>
      </c>
      <c r="B33" s="618" t="s">
        <v>519</v>
      </c>
      <c r="C33" s="619">
        <v>167808.83420000001</v>
      </c>
      <c r="D33" s="619">
        <v>9.5891000000000002</v>
      </c>
      <c r="E33" s="619">
        <v>2.9582000000000002</v>
      </c>
      <c r="F33" s="619">
        <v>0</v>
      </c>
      <c r="G33" s="619">
        <v>9.5891000000000002</v>
      </c>
      <c r="H33" s="619">
        <v>0</v>
      </c>
      <c r="I33" s="619">
        <v>36.223399999999998</v>
      </c>
      <c r="J33" s="619">
        <v>58.3598</v>
      </c>
      <c r="K33" s="619">
        <v>48.770699999999998</v>
      </c>
    </row>
    <row r="34" spans="1:11" ht="9" customHeight="1" x14ac:dyDescent="0.25">
      <c r="A34" s="617" t="s">
        <v>520</v>
      </c>
      <c r="B34" s="618" t="s">
        <v>521</v>
      </c>
      <c r="C34" s="619">
        <v>223745.11230000001</v>
      </c>
      <c r="D34" s="619">
        <v>12.785399999999999</v>
      </c>
      <c r="E34" s="619">
        <v>3.9443000000000001</v>
      </c>
      <c r="F34" s="619">
        <v>0</v>
      </c>
      <c r="G34" s="619">
        <v>12.785399999999999</v>
      </c>
      <c r="H34" s="619">
        <v>0</v>
      </c>
      <c r="I34" s="619">
        <v>36.223399999999998</v>
      </c>
      <c r="J34" s="619">
        <v>65.738500000000002</v>
      </c>
      <c r="K34" s="619">
        <v>52.953099999999999</v>
      </c>
    </row>
    <row r="35" spans="1:11" ht="9" customHeight="1" x14ac:dyDescent="0.25">
      <c r="A35" s="617" t="s">
        <v>522</v>
      </c>
      <c r="B35" s="618" t="s">
        <v>523</v>
      </c>
      <c r="C35" s="619">
        <v>3192104.5833999999</v>
      </c>
      <c r="D35" s="619">
        <v>159.6052</v>
      </c>
      <c r="E35" s="619">
        <v>56.272199999999998</v>
      </c>
      <c r="F35" s="619">
        <v>0</v>
      </c>
      <c r="G35" s="619">
        <v>182.40600000000001</v>
      </c>
      <c r="H35" s="619">
        <v>0</v>
      </c>
      <c r="I35" s="619">
        <v>36.223399999999998</v>
      </c>
      <c r="J35" s="619">
        <v>434.5068</v>
      </c>
      <c r="K35" s="619">
        <v>252.10079999999999</v>
      </c>
    </row>
    <row r="36" spans="1:11" ht="9" customHeight="1" x14ac:dyDescent="0.25">
      <c r="A36" s="617" t="s">
        <v>524</v>
      </c>
      <c r="B36" s="618" t="s">
        <v>525</v>
      </c>
      <c r="C36" s="619">
        <v>16539.950499999999</v>
      </c>
      <c r="D36" s="619">
        <v>0.94510000000000005</v>
      </c>
      <c r="E36" s="619">
        <v>0.29160000000000003</v>
      </c>
      <c r="F36" s="619">
        <v>0</v>
      </c>
      <c r="G36" s="619">
        <v>0.94510000000000005</v>
      </c>
      <c r="H36" s="619">
        <v>0</v>
      </c>
      <c r="I36" s="619">
        <v>36.223399999999998</v>
      </c>
      <c r="J36" s="619">
        <v>38.405200000000001</v>
      </c>
      <c r="K36" s="619">
        <v>37.460099999999997</v>
      </c>
    </row>
    <row r="37" spans="1:11" ht="9" customHeight="1" x14ac:dyDescent="0.25">
      <c r="A37" s="617" t="s">
        <v>526</v>
      </c>
      <c r="B37" s="618" t="s">
        <v>527</v>
      </c>
      <c r="C37" s="619">
        <v>116460.8092</v>
      </c>
      <c r="D37" s="619">
        <v>6.6548999999999996</v>
      </c>
      <c r="E37" s="619">
        <v>2.0529999999999999</v>
      </c>
      <c r="F37" s="619">
        <v>0</v>
      </c>
      <c r="G37" s="619">
        <v>6.6548999999999996</v>
      </c>
      <c r="H37" s="619">
        <v>4.6249000000000002</v>
      </c>
      <c r="I37" s="619">
        <v>36.223399999999998</v>
      </c>
      <c r="J37" s="619">
        <v>56.211100000000002</v>
      </c>
      <c r="K37" s="619">
        <v>44.9313</v>
      </c>
    </row>
    <row r="38" spans="1:11" ht="9" customHeight="1" x14ac:dyDescent="0.25">
      <c r="A38" s="617" t="s">
        <v>528</v>
      </c>
      <c r="B38" s="618" t="s">
        <v>529</v>
      </c>
      <c r="C38" s="619">
        <v>446.22949999999997</v>
      </c>
      <c r="D38" s="619">
        <v>4.02E-2</v>
      </c>
      <c r="E38" s="619">
        <v>8.3000000000000001E-3</v>
      </c>
      <c r="F38" s="619">
        <v>0</v>
      </c>
      <c r="G38" s="619">
        <v>2.23E-2</v>
      </c>
      <c r="H38" s="619">
        <v>0</v>
      </c>
      <c r="I38" s="619">
        <v>0</v>
      </c>
      <c r="J38" s="619">
        <v>7.0800000000000002E-2</v>
      </c>
      <c r="K38" s="619">
        <v>4.8500000000000001E-2</v>
      </c>
    </row>
    <row r="39" spans="1:11" ht="9" customHeight="1" x14ac:dyDescent="0.25">
      <c r="A39" s="617" t="s">
        <v>530</v>
      </c>
      <c r="B39" s="618" t="s">
        <v>531</v>
      </c>
      <c r="C39" s="619">
        <v>1036858.7340000001</v>
      </c>
      <c r="D39" s="619">
        <v>40.322299999999998</v>
      </c>
      <c r="E39" s="619">
        <v>17.770600000000002</v>
      </c>
      <c r="F39" s="619">
        <v>0</v>
      </c>
      <c r="G39" s="619">
        <v>57.603299999999997</v>
      </c>
      <c r="H39" s="619">
        <v>82.639700000000005</v>
      </c>
      <c r="I39" s="619">
        <v>26.8781</v>
      </c>
      <c r="J39" s="619">
        <v>225.214</v>
      </c>
      <c r="K39" s="619">
        <v>84.971000000000004</v>
      </c>
    </row>
    <row r="40" spans="1:11" ht="9" customHeight="1" x14ac:dyDescent="0.25">
      <c r="A40" s="617" t="s">
        <v>532</v>
      </c>
      <c r="B40" s="618" t="s">
        <v>533</v>
      </c>
      <c r="C40" s="619">
        <v>24450.997100000001</v>
      </c>
      <c r="D40" s="619">
        <v>0.38200000000000001</v>
      </c>
      <c r="E40" s="619">
        <v>0.14410000000000001</v>
      </c>
      <c r="F40" s="619">
        <v>0</v>
      </c>
      <c r="G40" s="619">
        <v>0.42449999999999999</v>
      </c>
      <c r="H40" s="619">
        <v>45.808799999999998</v>
      </c>
      <c r="I40" s="619">
        <v>31.4925</v>
      </c>
      <c r="J40" s="619">
        <v>78.251900000000006</v>
      </c>
      <c r="K40" s="619">
        <v>32.018599999999999</v>
      </c>
    </row>
    <row r="41" spans="1:11" ht="9" customHeight="1" x14ac:dyDescent="0.25">
      <c r="A41" s="617" t="s">
        <v>534</v>
      </c>
      <c r="B41" s="618" t="s">
        <v>535</v>
      </c>
      <c r="C41" s="619">
        <v>3431278.2209999999</v>
      </c>
      <c r="D41" s="619">
        <v>196.07300000000001</v>
      </c>
      <c r="E41" s="619">
        <v>60.488500000000002</v>
      </c>
      <c r="F41" s="619">
        <v>0</v>
      </c>
      <c r="G41" s="619">
        <v>171.56389999999999</v>
      </c>
      <c r="H41" s="619">
        <v>0</v>
      </c>
      <c r="I41" s="619">
        <v>36.223399999999998</v>
      </c>
      <c r="J41" s="619">
        <v>464.34879999999998</v>
      </c>
      <c r="K41" s="619">
        <v>292.78489999999999</v>
      </c>
    </row>
    <row r="42" spans="1:11" ht="9" customHeight="1" x14ac:dyDescent="0.25">
      <c r="A42" s="617" t="s">
        <v>536</v>
      </c>
      <c r="B42" s="618" t="s">
        <v>537</v>
      </c>
      <c r="C42" s="619">
        <v>65903.801000000007</v>
      </c>
      <c r="D42" s="619">
        <v>5.2723000000000004</v>
      </c>
      <c r="E42" s="619">
        <v>1.2199</v>
      </c>
      <c r="F42" s="619">
        <v>0</v>
      </c>
      <c r="G42" s="619">
        <v>5.2723000000000004</v>
      </c>
      <c r="H42" s="619">
        <v>7.093</v>
      </c>
      <c r="I42" s="619">
        <v>36.223399999999998</v>
      </c>
      <c r="J42" s="619">
        <v>55.0809</v>
      </c>
      <c r="K42" s="619">
        <v>42.715600000000002</v>
      </c>
    </row>
    <row r="43" spans="1:11" ht="9" customHeight="1" x14ac:dyDescent="0.25">
      <c r="A43" s="617" t="s">
        <v>538</v>
      </c>
      <c r="B43" s="618" t="s">
        <v>539</v>
      </c>
      <c r="C43" s="619">
        <v>80020.844500000007</v>
      </c>
      <c r="D43" s="619">
        <v>6.4016999999999999</v>
      </c>
      <c r="E43" s="619">
        <v>1.4812000000000001</v>
      </c>
      <c r="F43" s="619">
        <v>0</v>
      </c>
      <c r="G43" s="619">
        <v>6.4016999999999999</v>
      </c>
      <c r="H43" s="619">
        <v>7.093</v>
      </c>
      <c r="I43" s="619">
        <v>36.223399999999998</v>
      </c>
      <c r="J43" s="619">
        <v>57.600999999999999</v>
      </c>
      <c r="K43" s="619">
        <v>44.106299999999997</v>
      </c>
    </row>
    <row r="44" spans="1:11" ht="9" customHeight="1" x14ac:dyDescent="0.25">
      <c r="A44" s="617" t="s">
        <v>540</v>
      </c>
      <c r="B44" s="618" t="s">
        <v>541</v>
      </c>
      <c r="C44" s="619">
        <v>102810.6018</v>
      </c>
      <c r="D44" s="619">
        <v>8.2248000000000001</v>
      </c>
      <c r="E44" s="619">
        <v>1.903</v>
      </c>
      <c r="F44" s="619">
        <v>0</v>
      </c>
      <c r="G44" s="619">
        <v>8.2248000000000001</v>
      </c>
      <c r="H44" s="619">
        <v>7.093</v>
      </c>
      <c r="I44" s="619">
        <v>36.223399999999998</v>
      </c>
      <c r="J44" s="619">
        <v>61.668999999999997</v>
      </c>
      <c r="K44" s="619">
        <v>46.351199999999999</v>
      </c>
    </row>
    <row r="45" spans="1:11" ht="9" customHeight="1" x14ac:dyDescent="0.25">
      <c r="A45" s="617" t="s">
        <v>542</v>
      </c>
      <c r="B45" s="618" t="s">
        <v>543</v>
      </c>
      <c r="C45" s="619">
        <v>119343.6614</v>
      </c>
      <c r="D45" s="619">
        <v>9.5474999999999994</v>
      </c>
      <c r="E45" s="619">
        <v>2.2090999999999998</v>
      </c>
      <c r="F45" s="619">
        <v>0</v>
      </c>
      <c r="G45" s="619">
        <v>9.5474999999999994</v>
      </c>
      <c r="H45" s="619">
        <v>7.093</v>
      </c>
      <c r="I45" s="619">
        <v>36.223399999999998</v>
      </c>
      <c r="J45" s="619">
        <v>64.620500000000007</v>
      </c>
      <c r="K45" s="619">
        <v>47.98</v>
      </c>
    </row>
    <row r="46" spans="1:11" ht="9" customHeight="1" x14ac:dyDescent="0.25">
      <c r="A46" s="617" t="s">
        <v>544</v>
      </c>
      <c r="B46" s="618" t="s">
        <v>545</v>
      </c>
      <c r="C46" s="619">
        <v>551396.93050000002</v>
      </c>
      <c r="D46" s="619">
        <v>44.111800000000002</v>
      </c>
      <c r="E46" s="619">
        <v>10.2064</v>
      </c>
      <c r="F46" s="619">
        <v>0</v>
      </c>
      <c r="G46" s="619">
        <v>49.625700000000002</v>
      </c>
      <c r="H46" s="619">
        <v>65.722300000000004</v>
      </c>
      <c r="I46" s="619">
        <v>20.121700000000001</v>
      </c>
      <c r="J46" s="619">
        <v>189.78790000000001</v>
      </c>
      <c r="K46" s="619">
        <v>74.439899999999994</v>
      </c>
    </row>
    <row r="47" spans="1:11" ht="9" customHeight="1" x14ac:dyDescent="0.25">
      <c r="A47" s="617" t="s">
        <v>546</v>
      </c>
      <c r="B47" s="618" t="s">
        <v>547</v>
      </c>
      <c r="C47" s="619">
        <v>1603255.0079999999</v>
      </c>
      <c r="D47" s="619">
        <v>80.162800000000004</v>
      </c>
      <c r="E47" s="619">
        <v>28.263100000000001</v>
      </c>
      <c r="F47" s="619">
        <v>0</v>
      </c>
      <c r="G47" s="619">
        <v>103.0664</v>
      </c>
      <c r="H47" s="619">
        <v>22.8203</v>
      </c>
      <c r="I47" s="619">
        <v>27.6343</v>
      </c>
      <c r="J47" s="619">
        <v>261.94690000000003</v>
      </c>
      <c r="K47" s="619">
        <v>136.06020000000001</v>
      </c>
    </row>
    <row r="48" spans="1:11" ht="9" customHeight="1" x14ac:dyDescent="0.25">
      <c r="A48" s="617" t="s">
        <v>548</v>
      </c>
      <c r="B48" s="618" t="s">
        <v>549</v>
      </c>
      <c r="C48" s="619">
        <v>755275.03229999996</v>
      </c>
      <c r="D48" s="619">
        <v>60.421999999999997</v>
      </c>
      <c r="E48" s="619">
        <v>13.9801</v>
      </c>
      <c r="F48" s="619">
        <v>0</v>
      </c>
      <c r="G48" s="619">
        <v>52.869300000000003</v>
      </c>
      <c r="H48" s="619">
        <v>12.7575</v>
      </c>
      <c r="I48" s="619">
        <v>20.121700000000001</v>
      </c>
      <c r="J48" s="619">
        <v>160.1506</v>
      </c>
      <c r="K48" s="619">
        <v>94.523799999999994</v>
      </c>
    </row>
    <row r="49" spans="1:11" ht="9" customHeight="1" x14ac:dyDescent="0.25">
      <c r="A49" s="617" t="s">
        <v>550</v>
      </c>
      <c r="B49" s="618" t="s">
        <v>551</v>
      </c>
      <c r="C49" s="619">
        <v>806667.72679999995</v>
      </c>
      <c r="D49" s="619">
        <v>64.5334</v>
      </c>
      <c r="E49" s="619">
        <v>14.9314</v>
      </c>
      <c r="F49" s="619">
        <v>0</v>
      </c>
      <c r="G49" s="619">
        <v>56.466700000000003</v>
      </c>
      <c r="H49" s="619">
        <v>74.850399999999993</v>
      </c>
      <c r="I49" s="619">
        <v>20.121700000000001</v>
      </c>
      <c r="J49" s="619">
        <v>230.90360000000001</v>
      </c>
      <c r="K49" s="619">
        <v>99.586500000000001</v>
      </c>
    </row>
    <row r="50" spans="1:11" ht="9" customHeight="1" x14ac:dyDescent="0.25">
      <c r="A50" s="617" t="s">
        <v>552</v>
      </c>
      <c r="B50" s="618" t="s">
        <v>553</v>
      </c>
      <c r="C50" s="619">
        <v>347856.32780000003</v>
      </c>
      <c r="D50" s="619">
        <v>10.8705</v>
      </c>
      <c r="E50" s="619">
        <v>2.2357</v>
      </c>
      <c r="F50" s="619">
        <v>0</v>
      </c>
      <c r="G50" s="619">
        <v>9.6626999999999992</v>
      </c>
      <c r="H50" s="619">
        <v>19.473299999999998</v>
      </c>
      <c r="I50" s="619">
        <v>24.508099999999999</v>
      </c>
      <c r="J50" s="619">
        <v>66.750299999999996</v>
      </c>
      <c r="K50" s="619">
        <v>37.6143</v>
      </c>
    </row>
    <row r="51" spans="1:11" ht="9" customHeight="1" x14ac:dyDescent="0.25">
      <c r="A51" s="617" t="s">
        <v>554</v>
      </c>
      <c r="B51" s="618" t="s">
        <v>555</v>
      </c>
      <c r="C51" s="619">
        <v>1214063.2507</v>
      </c>
      <c r="D51" s="619">
        <v>97.125100000000003</v>
      </c>
      <c r="E51" s="619">
        <v>22.472300000000001</v>
      </c>
      <c r="F51" s="619">
        <v>0</v>
      </c>
      <c r="G51" s="619">
        <v>60.703200000000002</v>
      </c>
      <c r="H51" s="619">
        <v>23.101400000000002</v>
      </c>
      <c r="I51" s="619">
        <v>20.121700000000001</v>
      </c>
      <c r="J51" s="619">
        <v>223.52369999999999</v>
      </c>
      <c r="K51" s="619">
        <v>139.7191</v>
      </c>
    </row>
    <row r="52" spans="1:11" ht="9" customHeight="1" x14ac:dyDescent="0.25">
      <c r="A52" s="617" t="s">
        <v>556</v>
      </c>
      <c r="B52" s="618" t="s">
        <v>557</v>
      </c>
      <c r="C52" s="619">
        <v>477402.50760000001</v>
      </c>
      <c r="D52" s="619">
        <v>42.966200000000001</v>
      </c>
      <c r="E52" s="619">
        <v>8.8367000000000004</v>
      </c>
      <c r="F52" s="619">
        <v>0</v>
      </c>
      <c r="G52" s="619">
        <v>23.870100000000001</v>
      </c>
      <c r="H52" s="619">
        <v>0</v>
      </c>
      <c r="I52" s="619">
        <v>0</v>
      </c>
      <c r="J52" s="619">
        <v>75.673000000000002</v>
      </c>
      <c r="K52" s="619">
        <v>51.802900000000001</v>
      </c>
    </row>
    <row r="53" spans="1:11" ht="9" customHeight="1" x14ac:dyDescent="0.25">
      <c r="A53" s="617" t="s">
        <v>558</v>
      </c>
      <c r="B53" s="618" t="s">
        <v>559</v>
      </c>
      <c r="C53" s="619">
        <v>892683.66949999996</v>
      </c>
      <c r="D53" s="619">
        <v>6.9741</v>
      </c>
      <c r="E53" s="619">
        <v>5.0202</v>
      </c>
      <c r="F53" s="619">
        <v>0</v>
      </c>
      <c r="G53" s="619">
        <v>15.497999999999999</v>
      </c>
      <c r="H53" s="619">
        <v>0</v>
      </c>
      <c r="I53" s="619">
        <v>85.883799999999994</v>
      </c>
      <c r="J53" s="619">
        <v>113.37609999999999</v>
      </c>
      <c r="K53" s="619">
        <v>97.878100000000003</v>
      </c>
    </row>
    <row r="54" spans="1:11" ht="9" customHeight="1" x14ac:dyDescent="0.25">
      <c r="A54" s="617" t="s">
        <v>560</v>
      </c>
      <c r="B54" s="618" t="s">
        <v>561</v>
      </c>
      <c r="C54" s="619">
        <v>238717.13260000001</v>
      </c>
      <c r="D54" s="619">
        <v>1.865</v>
      </c>
      <c r="E54" s="619">
        <v>1.3425</v>
      </c>
      <c r="F54" s="619">
        <v>0</v>
      </c>
      <c r="G54" s="619">
        <v>3.1082999999999998</v>
      </c>
      <c r="H54" s="619">
        <v>0</v>
      </c>
      <c r="I54" s="619">
        <v>22.455200000000001</v>
      </c>
      <c r="J54" s="619">
        <v>28.771000000000001</v>
      </c>
      <c r="K54" s="619">
        <v>25.662700000000001</v>
      </c>
    </row>
    <row r="55" spans="1:11" ht="9" customHeight="1" x14ac:dyDescent="0.25">
      <c r="A55" s="617" t="s">
        <v>562</v>
      </c>
      <c r="B55" s="618" t="s">
        <v>563</v>
      </c>
      <c r="C55" s="619">
        <v>713962.33070000005</v>
      </c>
      <c r="D55" s="619">
        <v>5.5777999999999999</v>
      </c>
      <c r="E55" s="619">
        <v>4.0151000000000003</v>
      </c>
      <c r="F55" s="619">
        <v>0</v>
      </c>
      <c r="G55" s="619">
        <v>9.2964000000000002</v>
      </c>
      <c r="H55" s="619">
        <v>0</v>
      </c>
      <c r="I55" s="619">
        <v>22.455200000000001</v>
      </c>
      <c r="J55" s="619">
        <v>41.344499999999996</v>
      </c>
      <c r="K55" s="619">
        <v>32.048099999999998</v>
      </c>
    </row>
    <row r="56" spans="1:11" ht="9" customHeight="1" x14ac:dyDescent="0.25">
      <c r="A56" s="617" t="s">
        <v>564</v>
      </c>
      <c r="B56" s="618" t="s">
        <v>565</v>
      </c>
      <c r="C56" s="619">
        <v>892683.66949999996</v>
      </c>
      <c r="D56" s="619">
        <v>6.9741</v>
      </c>
      <c r="E56" s="619">
        <v>5.0202</v>
      </c>
      <c r="F56" s="619">
        <v>0</v>
      </c>
      <c r="G56" s="619">
        <v>15.497999999999999</v>
      </c>
      <c r="H56" s="619">
        <v>0</v>
      </c>
      <c r="I56" s="619">
        <v>85.883799999999994</v>
      </c>
      <c r="J56" s="619">
        <v>113.37609999999999</v>
      </c>
      <c r="K56" s="619">
        <v>97.878100000000003</v>
      </c>
    </row>
    <row r="57" spans="1:11" ht="9" customHeight="1" x14ac:dyDescent="0.25">
      <c r="A57" s="617" t="s">
        <v>566</v>
      </c>
      <c r="B57" s="618" t="s">
        <v>567</v>
      </c>
      <c r="C57" s="619">
        <v>21816.6067</v>
      </c>
      <c r="D57" s="619">
        <v>0.68179999999999996</v>
      </c>
      <c r="E57" s="619">
        <v>0.14019999999999999</v>
      </c>
      <c r="F57" s="619">
        <v>0</v>
      </c>
      <c r="G57" s="619">
        <v>0.60599999999999998</v>
      </c>
      <c r="H57" s="619">
        <v>0</v>
      </c>
      <c r="I57" s="619">
        <v>49.016199999999998</v>
      </c>
      <c r="J57" s="619">
        <v>50.444200000000002</v>
      </c>
      <c r="K57" s="619">
        <v>49.838200000000001</v>
      </c>
    </row>
    <row r="58" spans="1:11" ht="9" customHeight="1" x14ac:dyDescent="0.25">
      <c r="A58" s="617" t="s">
        <v>568</v>
      </c>
      <c r="B58" s="618" t="s">
        <v>569</v>
      </c>
      <c r="C58" s="619">
        <v>1269.1727000000001</v>
      </c>
      <c r="D58" s="619">
        <v>0.10150000000000001</v>
      </c>
      <c r="E58" s="619">
        <v>2.35E-2</v>
      </c>
      <c r="F58" s="619">
        <v>0</v>
      </c>
      <c r="G58" s="619">
        <v>6.3500000000000001E-2</v>
      </c>
      <c r="H58" s="619">
        <v>0</v>
      </c>
      <c r="I58" s="619">
        <v>0</v>
      </c>
      <c r="J58" s="619">
        <v>0.1885</v>
      </c>
      <c r="K58" s="619">
        <v>0.125</v>
      </c>
    </row>
    <row r="59" spans="1:11" ht="9" customHeight="1" x14ac:dyDescent="0.25">
      <c r="A59" s="617" t="s">
        <v>570</v>
      </c>
      <c r="B59" s="618" t="s">
        <v>571</v>
      </c>
      <c r="C59" s="619">
        <v>4596.1983</v>
      </c>
      <c r="D59" s="619">
        <v>0.61280000000000001</v>
      </c>
      <c r="E59" s="619">
        <v>9.4500000000000001E-2</v>
      </c>
      <c r="F59" s="619">
        <v>0</v>
      </c>
      <c r="G59" s="619">
        <v>0.38300000000000001</v>
      </c>
      <c r="H59" s="619">
        <v>0</v>
      </c>
      <c r="I59" s="619">
        <v>0</v>
      </c>
      <c r="J59" s="619">
        <v>1.0903</v>
      </c>
      <c r="K59" s="619">
        <v>0.70730000000000004</v>
      </c>
    </row>
    <row r="60" spans="1:11" ht="9" customHeight="1" x14ac:dyDescent="0.25">
      <c r="A60" s="617" t="s">
        <v>572</v>
      </c>
      <c r="B60" s="618" t="s">
        <v>573</v>
      </c>
      <c r="C60" s="619">
        <v>26431398.3277</v>
      </c>
      <c r="D60" s="619">
        <v>1057.2559000000001</v>
      </c>
      <c r="E60" s="619">
        <v>448.47480000000002</v>
      </c>
      <c r="F60" s="619">
        <v>0</v>
      </c>
      <c r="G60" s="619">
        <v>1057.2559000000001</v>
      </c>
      <c r="H60" s="619">
        <v>219.0744</v>
      </c>
      <c r="I60" s="619">
        <v>36.223399999999998</v>
      </c>
      <c r="J60" s="619">
        <v>2818.2844</v>
      </c>
      <c r="K60" s="619">
        <v>1541.9540999999999</v>
      </c>
    </row>
    <row r="61" spans="1:11" ht="9" customHeight="1" x14ac:dyDescent="0.25">
      <c r="A61" s="617" t="s">
        <v>574</v>
      </c>
      <c r="B61" s="618" t="s">
        <v>575</v>
      </c>
      <c r="C61" s="619">
        <v>955.00699999999995</v>
      </c>
      <c r="D61" s="619">
        <v>0.95499999999999996</v>
      </c>
      <c r="E61" s="619">
        <v>5.8900000000000001E-2</v>
      </c>
      <c r="F61" s="619">
        <v>0</v>
      </c>
      <c r="G61" s="619">
        <v>0.47749999999999998</v>
      </c>
      <c r="H61" s="619">
        <v>0</v>
      </c>
      <c r="I61" s="619">
        <v>0</v>
      </c>
      <c r="J61" s="619">
        <v>1.4914000000000001</v>
      </c>
      <c r="K61" s="619">
        <v>1.0139</v>
      </c>
    </row>
    <row r="62" spans="1:11" ht="9" customHeight="1" x14ac:dyDescent="0.25">
      <c r="A62" s="617" t="s">
        <v>576</v>
      </c>
      <c r="B62" s="618" t="s">
        <v>577</v>
      </c>
      <c r="C62" s="619">
        <v>29328645.350000001</v>
      </c>
      <c r="D62" s="619">
        <v>1173.1458</v>
      </c>
      <c r="E62" s="619">
        <v>497.63380000000001</v>
      </c>
      <c r="F62" s="619">
        <v>0</v>
      </c>
      <c r="G62" s="619">
        <v>1026.5026</v>
      </c>
      <c r="H62" s="619">
        <v>135.8261</v>
      </c>
      <c r="I62" s="619">
        <v>36.223399999999998</v>
      </c>
      <c r="J62" s="619">
        <v>2869.3317000000002</v>
      </c>
      <c r="K62" s="619">
        <v>1707.0029999999999</v>
      </c>
    </row>
    <row r="63" spans="1:11" ht="9" customHeight="1" x14ac:dyDescent="0.25">
      <c r="A63" s="617" t="s">
        <v>578</v>
      </c>
      <c r="B63" s="618" t="s">
        <v>579</v>
      </c>
      <c r="C63" s="619">
        <v>56848.769099999998</v>
      </c>
      <c r="D63" s="619">
        <v>2.8424</v>
      </c>
      <c r="E63" s="619">
        <v>1.0022</v>
      </c>
      <c r="F63" s="619">
        <v>0</v>
      </c>
      <c r="G63" s="619">
        <v>2.0303</v>
      </c>
      <c r="H63" s="619">
        <v>12.718500000000001</v>
      </c>
      <c r="I63" s="619">
        <v>0</v>
      </c>
      <c r="J63" s="619">
        <v>18.593399999999999</v>
      </c>
      <c r="K63" s="619">
        <v>3.8445999999999998</v>
      </c>
    </row>
    <row r="64" spans="1:11" ht="9" customHeight="1" x14ac:dyDescent="0.25">
      <c r="A64" s="617" t="s">
        <v>580</v>
      </c>
      <c r="B64" s="618" t="s">
        <v>581</v>
      </c>
      <c r="C64" s="619">
        <v>1675644.2</v>
      </c>
      <c r="D64" s="619">
        <v>67.025800000000004</v>
      </c>
      <c r="E64" s="619">
        <v>28.4315</v>
      </c>
      <c r="F64" s="619">
        <v>0</v>
      </c>
      <c r="G64" s="619">
        <v>41.891100000000002</v>
      </c>
      <c r="H64" s="619">
        <v>83.978499999999997</v>
      </c>
      <c r="I64" s="619">
        <v>20.121700000000001</v>
      </c>
      <c r="J64" s="619">
        <v>241.4486</v>
      </c>
      <c r="K64" s="619">
        <v>115.57899999999999</v>
      </c>
    </row>
    <row r="65" spans="1:11" ht="9" customHeight="1" x14ac:dyDescent="0.25">
      <c r="A65" s="617" t="s">
        <v>582</v>
      </c>
      <c r="B65" s="618" t="s">
        <v>583</v>
      </c>
      <c r="C65" s="619">
        <v>2044006.2416999999</v>
      </c>
      <c r="D65" s="619">
        <v>136.2671</v>
      </c>
      <c r="E65" s="619">
        <v>36.7836</v>
      </c>
      <c r="F65" s="619">
        <v>0</v>
      </c>
      <c r="G65" s="619">
        <v>136.2671</v>
      </c>
      <c r="H65" s="619">
        <v>112.2756</v>
      </c>
      <c r="I65" s="619">
        <v>26.8781</v>
      </c>
      <c r="J65" s="619">
        <v>448.47149999999999</v>
      </c>
      <c r="K65" s="619">
        <v>199.9288</v>
      </c>
    </row>
    <row r="66" spans="1:11" ht="9" customHeight="1" x14ac:dyDescent="0.25">
      <c r="A66" s="617" t="s">
        <v>584</v>
      </c>
      <c r="B66" s="618" t="s">
        <v>585</v>
      </c>
      <c r="C66" s="619">
        <v>4089.6732000000002</v>
      </c>
      <c r="D66" s="619">
        <v>0.65429999999999999</v>
      </c>
      <c r="E66" s="619">
        <v>0.15140000000000001</v>
      </c>
      <c r="F66" s="619">
        <v>0</v>
      </c>
      <c r="G66" s="619">
        <v>0.40899999999999997</v>
      </c>
      <c r="H66" s="619">
        <v>8.8353999999999999</v>
      </c>
      <c r="I66" s="619">
        <v>0</v>
      </c>
      <c r="J66" s="619">
        <v>10.0501</v>
      </c>
      <c r="K66" s="619">
        <v>0.80569999999999997</v>
      </c>
    </row>
    <row r="67" spans="1:11" ht="9" customHeight="1" x14ac:dyDescent="0.25">
      <c r="A67" s="617" t="s">
        <v>586</v>
      </c>
      <c r="B67" s="618" t="s">
        <v>587</v>
      </c>
      <c r="C67" s="619">
        <v>326268.29690000002</v>
      </c>
      <c r="D67" s="619">
        <v>13.050700000000001</v>
      </c>
      <c r="E67" s="619">
        <v>5.5359999999999996</v>
      </c>
      <c r="F67" s="619">
        <v>0</v>
      </c>
      <c r="G67" s="619">
        <v>8.1567000000000007</v>
      </c>
      <c r="H67" s="619">
        <v>0</v>
      </c>
      <c r="I67" s="619">
        <v>20.121700000000001</v>
      </c>
      <c r="J67" s="619">
        <v>46.865099999999998</v>
      </c>
      <c r="K67" s="619">
        <v>38.708399999999997</v>
      </c>
    </row>
    <row r="68" spans="1:11" ht="9" customHeight="1" x14ac:dyDescent="0.25">
      <c r="A68" s="617" t="s">
        <v>588</v>
      </c>
      <c r="B68" s="618" t="s">
        <v>589</v>
      </c>
      <c r="C68" s="619">
        <v>444.1026</v>
      </c>
      <c r="D68" s="619">
        <v>0.44409999999999999</v>
      </c>
      <c r="E68" s="619">
        <v>2.7400000000000001E-2</v>
      </c>
      <c r="F68" s="619">
        <v>0</v>
      </c>
      <c r="G68" s="619">
        <v>0.22209999999999999</v>
      </c>
      <c r="H68" s="619">
        <v>0</v>
      </c>
      <c r="I68" s="619">
        <v>0</v>
      </c>
      <c r="J68" s="619">
        <v>0.69359999999999999</v>
      </c>
      <c r="K68" s="619">
        <v>0.47149999999999997</v>
      </c>
    </row>
    <row r="69" spans="1:11" ht="9" customHeight="1" x14ac:dyDescent="0.25">
      <c r="A69" s="617" t="s">
        <v>590</v>
      </c>
      <c r="B69" s="618" t="s">
        <v>591</v>
      </c>
      <c r="C69" s="619">
        <v>3245020.9912</v>
      </c>
      <c r="D69" s="619">
        <v>216.3347</v>
      </c>
      <c r="E69" s="619">
        <v>58.396900000000002</v>
      </c>
      <c r="F69" s="619">
        <v>0</v>
      </c>
      <c r="G69" s="619">
        <v>189.2929</v>
      </c>
      <c r="H69" s="619">
        <v>443.62569999999999</v>
      </c>
      <c r="I69" s="619">
        <v>36.223399999999998</v>
      </c>
      <c r="J69" s="619">
        <v>943.87360000000001</v>
      </c>
      <c r="K69" s="619">
        <v>310.95499999999998</v>
      </c>
    </row>
    <row r="70" spans="1:11" ht="9" customHeight="1" x14ac:dyDescent="0.25">
      <c r="A70" s="617" t="s">
        <v>592</v>
      </c>
      <c r="B70" s="618" t="s">
        <v>593</v>
      </c>
      <c r="C70" s="619">
        <v>403461.7268</v>
      </c>
      <c r="D70" s="619">
        <v>32.276899999999998</v>
      </c>
      <c r="E70" s="619">
        <v>7.4680999999999997</v>
      </c>
      <c r="F70" s="619">
        <v>0</v>
      </c>
      <c r="G70" s="619">
        <v>32.276899999999998</v>
      </c>
      <c r="H70" s="619">
        <v>85.560699999999997</v>
      </c>
      <c r="I70" s="619">
        <v>20.121700000000001</v>
      </c>
      <c r="J70" s="619">
        <v>177.70429999999999</v>
      </c>
      <c r="K70" s="619">
        <v>59.866700000000002</v>
      </c>
    </row>
    <row r="71" spans="1:11" ht="9" customHeight="1" x14ac:dyDescent="0.25">
      <c r="A71" s="617" t="s">
        <v>594</v>
      </c>
      <c r="B71" s="618" t="s">
        <v>595</v>
      </c>
      <c r="C71" s="619">
        <v>618369.90179999999</v>
      </c>
      <c r="D71" s="619">
        <v>25.7654</v>
      </c>
      <c r="E71" s="619">
        <v>8.9421999999999997</v>
      </c>
      <c r="F71" s="619">
        <v>0</v>
      </c>
      <c r="G71" s="619">
        <v>16.103400000000001</v>
      </c>
      <c r="H71" s="619">
        <v>0</v>
      </c>
      <c r="I71" s="619">
        <v>0</v>
      </c>
      <c r="J71" s="619">
        <v>50.811</v>
      </c>
      <c r="K71" s="619">
        <v>34.707599999999999</v>
      </c>
    </row>
    <row r="72" spans="1:11" ht="9" customHeight="1" x14ac:dyDescent="0.25">
      <c r="A72" s="617" t="s">
        <v>596</v>
      </c>
      <c r="B72" s="618" t="s">
        <v>597</v>
      </c>
      <c r="C72" s="619">
        <v>134.3227</v>
      </c>
      <c r="D72" s="619">
        <v>6.7199999999999996E-2</v>
      </c>
      <c r="E72" s="619">
        <v>6.1999999999999998E-3</v>
      </c>
      <c r="F72" s="619">
        <v>0</v>
      </c>
      <c r="G72" s="619">
        <v>3.3599999999999998E-2</v>
      </c>
      <c r="H72" s="619">
        <v>0</v>
      </c>
      <c r="I72" s="619">
        <v>0</v>
      </c>
      <c r="J72" s="619">
        <v>0.107</v>
      </c>
      <c r="K72" s="619">
        <v>7.3400000000000007E-2</v>
      </c>
    </row>
    <row r="73" spans="1:11" ht="9" customHeight="1" x14ac:dyDescent="0.25">
      <c r="A73" s="617" t="s">
        <v>598</v>
      </c>
      <c r="B73" s="618" t="s">
        <v>599</v>
      </c>
      <c r="C73" s="619">
        <v>173005.96419999999</v>
      </c>
      <c r="D73" s="619">
        <v>11.1218</v>
      </c>
      <c r="E73" s="619">
        <v>3.0497999999999998</v>
      </c>
      <c r="F73" s="619">
        <v>0</v>
      </c>
      <c r="G73" s="619">
        <v>6.1787999999999998</v>
      </c>
      <c r="H73" s="619">
        <v>0</v>
      </c>
      <c r="I73" s="619">
        <v>20.121700000000001</v>
      </c>
      <c r="J73" s="619">
        <v>40.472099999999998</v>
      </c>
      <c r="K73" s="619">
        <v>34.293300000000002</v>
      </c>
    </row>
    <row r="74" spans="1:11" ht="9" customHeight="1" x14ac:dyDescent="0.25">
      <c r="A74" s="617" t="s">
        <v>600</v>
      </c>
      <c r="B74" s="618" t="s">
        <v>601</v>
      </c>
      <c r="C74" s="619">
        <v>6479239.5800000001</v>
      </c>
      <c r="D74" s="619">
        <v>431.94929999999999</v>
      </c>
      <c r="E74" s="619">
        <v>116.5993</v>
      </c>
      <c r="F74" s="619">
        <v>0</v>
      </c>
      <c r="G74" s="619">
        <v>431.94929999999999</v>
      </c>
      <c r="H74" s="619">
        <v>166.13140000000001</v>
      </c>
      <c r="I74" s="619">
        <v>26.8781</v>
      </c>
      <c r="J74" s="619">
        <v>1173.5074</v>
      </c>
      <c r="K74" s="619">
        <v>575.42669999999998</v>
      </c>
    </row>
    <row r="75" spans="1:11" ht="9" customHeight="1" x14ac:dyDescent="0.25">
      <c r="A75" s="617" t="s">
        <v>602</v>
      </c>
      <c r="B75" s="618" t="s">
        <v>603</v>
      </c>
      <c r="C75" s="619">
        <v>3530584.7768999999</v>
      </c>
      <c r="D75" s="619">
        <v>94.148899999999998</v>
      </c>
      <c r="E75" s="619">
        <v>58.0899</v>
      </c>
      <c r="F75" s="619">
        <v>0</v>
      </c>
      <c r="G75" s="619">
        <v>58.8431</v>
      </c>
      <c r="H75" s="619">
        <v>0</v>
      </c>
      <c r="I75" s="619">
        <v>36.223399999999998</v>
      </c>
      <c r="J75" s="619">
        <v>247.30529999999999</v>
      </c>
      <c r="K75" s="619">
        <v>188.4622</v>
      </c>
    </row>
    <row r="76" spans="1:11" ht="9" customHeight="1" x14ac:dyDescent="0.25">
      <c r="A76" s="617" t="s">
        <v>604</v>
      </c>
      <c r="B76" s="618" t="s">
        <v>605</v>
      </c>
      <c r="C76" s="619">
        <v>142157.95110000001</v>
      </c>
      <c r="D76" s="619">
        <v>11.3726</v>
      </c>
      <c r="E76" s="619">
        <v>2.6313</v>
      </c>
      <c r="F76" s="619">
        <v>0</v>
      </c>
      <c r="G76" s="619">
        <v>9.9511000000000003</v>
      </c>
      <c r="H76" s="619">
        <v>0</v>
      </c>
      <c r="I76" s="619">
        <v>0</v>
      </c>
      <c r="J76" s="619">
        <v>23.954999999999998</v>
      </c>
      <c r="K76" s="619">
        <v>14.0039</v>
      </c>
    </row>
    <row r="77" spans="1:11" ht="9" customHeight="1" x14ac:dyDescent="0.25">
      <c r="A77" s="617" t="s">
        <v>606</v>
      </c>
      <c r="B77" s="618" t="s">
        <v>607</v>
      </c>
      <c r="C77" s="619">
        <v>1673114.8943</v>
      </c>
      <c r="D77" s="619">
        <v>75.290199999999999</v>
      </c>
      <c r="E77" s="619">
        <v>28.3886</v>
      </c>
      <c r="F77" s="619">
        <v>0</v>
      </c>
      <c r="G77" s="619">
        <v>41.8279</v>
      </c>
      <c r="H77" s="619">
        <v>0</v>
      </c>
      <c r="I77" s="619">
        <v>20.121700000000001</v>
      </c>
      <c r="J77" s="619">
        <v>165.6284</v>
      </c>
      <c r="K77" s="619">
        <v>123.8005</v>
      </c>
    </row>
    <row r="78" spans="1:11" ht="9" customHeight="1" x14ac:dyDescent="0.25">
      <c r="A78" s="617" t="s">
        <v>608</v>
      </c>
      <c r="B78" s="618" t="s">
        <v>609</v>
      </c>
      <c r="C78" s="619">
        <v>101130.0773</v>
      </c>
      <c r="D78" s="619">
        <v>4.5509000000000004</v>
      </c>
      <c r="E78" s="619">
        <v>1.7159</v>
      </c>
      <c r="F78" s="619">
        <v>0</v>
      </c>
      <c r="G78" s="619">
        <v>2.5283000000000002</v>
      </c>
      <c r="H78" s="619">
        <v>0</v>
      </c>
      <c r="I78" s="619">
        <v>20.121700000000001</v>
      </c>
      <c r="J78" s="619">
        <v>28.916799999999999</v>
      </c>
      <c r="K78" s="619">
        <v>26.388500000000001</v>
      </c>
    </row>
    <row r="79" spans="1:11" ht="9" customHeight="1" x14ac:dyDescent="0.25">
      <c r="A79" s="617" t="s">
        <v>610</v>
      </c>
      <c r="B79" s="618" t="s">
        <v>611</v>
      </c>
      <c r="C79" s="619">
        <v>775000</v>
      </c>
      <c r="D79" s="619">
        <v>12.270799999999999</v>
      </c>
      <c r="E79" s="619">
        <v>12.3529</v>
      </c>
      <c r="F79" s="619">
        <v>0</v>
      </c>
      <c r="G79" s="619">
        <v>6.4583000000000004</v>
      </c>
      <c r="H79" s="619">
        <v>0</v>
      </c>
      <c r="I79" s="619">
        <v>0</v>
      </c>
      <c r="J79" s="619">
        <v>31.082000000000001</v>
      </c>
      <c r="K79" s="619">
        <v>24.623699999999999</v>
      </c>
    </row>
    <row r="80" spans="1:11" ht="9" customHeight="1" x14ac:dyDescent="0.25">
      <c r="A80" s="617" t="s">
        <v>612</v>
      </c>
      <c r="B80" s="618" t="s">
        <v>613</v>
      </c>
      <c r="C80" s="619">
        <v>1083666.6666000001</v>
      </c>
      <c r="D80" s="619">
        <v>17.158100000000001</v>
      </c>
      <c r="E80" s="619">
        <v>17.2727</v>
      </c>
      <c r="F80" s="619">
        <v>0</v>
      </c>
      <c r="G80" s="619">
        <v>9.0305999999999997</v>
      </c>
      <c r="H80" s="619">
        <v>0</v>
      </c>
      <c r="I80" s="619">
        <v>0</v>
      </c>
      <c r="J80" s="619">
        <v>43.461399999999998</v>
      </c>
      <c r="K80" s="619">
        <v>34.430799999999998</v>
      </c>
    </row>
    <row r="81" spans="1:11" ht="9" customHeight="1" x14ac:dyDescent="0.25">
      <c r="A81" s="617" t="s">
        <v>614</v>
      </c>
      <c r="B81" s="618" t="s">
        <v>615</v>
      </c>
      <c r="C81" s="619">
        <v>563000</v>
      </c>
      <c r="D81" s="619">
        <v>8.9141999999999992</v>
      </c>
      <c r="E81" s="619">
        <v>8.9738000000000007</v>
      </c>
      <c r="F81" s="619">
        <v>0</v>
      </c>
      <c r="G81" s="619">
        <v>4.6917</v>
      </c>
      <c r="H81" s="619">
        <v>0</v>
      </c>
      <c r="I81" s="619">
        <v>0</v>
      </c>
      <c r="J81" s="619">
        <v>22.579699999999999</v>
      </c>
      <c r="K81" s="619">
        <v>17.888000000000002</v>
      </c>
    </row>
    <row r="82" spans="1:11" ht="9" customHeight="1" x14ac:dyDescent="0.25">
      <c r="A82" s="617" t="s">
        <v>616</v>
      </c>
      <c r="B82" s="618" t="s">
        <v>617</v>
      </c>
      <c r="C82" s="619">
        <v>493731.7268</v>
      </c>
      <c r="D82" s="619">
        <v>39.4985</v>
      </c>
      <c r="E82" s="619">
        <v>9.1389999999999993</v>
      </c>
      <c r="F82" s="619">
        <v>0</v>
      </c>
      <c r="G82" s="619">
        <v>39.4985</v>
      </c>
      <c r="H82" s="619">
        <v>85.560699999999997</v>
      </c>
      <c r="I82" s="619">
        <v>20.121700000000001</v>
      </c>
      <c r="J82" s="619">
        <v>193.8184</v>
      </c>
      <c r="K82" s="619">
        <v>68.759200000000007</v>
      </c>
    </row>
    <row r="83" spans="1:11" ht="9" customHeight="1" x14ac:dyDescent="0.25">
      <c r="A83" s="617" t="s">
        <v>618</v>
      </c>
      <c r="B83" s="618" t="s">
        <v>619</v>
      </c>
      <c r="C83" s="619">
        <v>2577.6741000000002</v>
      </c>
      <c r="D83" s="619">
        <v>0.38669999999999999</v>
      </c>
      <c r="E83" s="619">
        <v>5.2999999999999999E-2</v>
      </c>
      <c r="F83" s="619">
        <v>0</v>
      </c>
      <c r="G83" s="619">
        <v>0.30070000000000002</v>
      </c>
      <c r="H83" s="619">
        <v>9.4818999999999996</v>
      </c>
      <c r="I83" s="619">
        <v>0</v>
      </c>
      <c r="J83" s="619">
        <v>10.222300000000001</v>
      </c>
      <c r="K83" s="619">
        <v>0.43969999999999998</v>
      </c>
    </row>
    <row r="84" spans="1:11" ht="9" customHeight="1" x14ac:dyDescent="0.25">
      <c r="A84" s="617" t="s">
        <v>620</v>
      </c>
      <c r="B84" s="618" t="s">
        <v>621</v>
      </c>
      <c r="C84" s="619">
        <v>1091009.7001</v>
      </c>
      <c r="D84" s="619">
        <v>14.2059</v>
      </c>
      <c r="E84" s="619">
        <v>6.3303000000000003</v>
      </c>
      <c r="F84" s="619">
        <v>0</v>
      </c>
      <c r="G84" s="619">
        <v>31.5686</v>
      </c>
      <c r="H84" s="619">
        <v>430.11610000000002</v>
      </c>
      <c r="I84" s="619">
        <v>122.28959999999999</v>
      </c>
      <c r="J84" s="619">
        <v>604.51049999999998</v>
      </c>
      <c r="K84" s="619">
        <v>142.82579999999999</v>
      </c>
    </row>
    <row r="85" spans="1:11" ht="9" customHeight="1" x14ac:dyDescent="0.25">
      <c r="A85" s="617" t="s">
        <v>45</v>
      </c>
      <c r="B85" s="618" t="s">
        <v>46</v>
      </c>
      <c r="C85" s="619">
        <v>67772.492199999993</v>
      </c>
      <c r="D85" s="619">
        <v>4.0663</v>
      </c>
      <c r="E85" s="619">
        <v>1.2544999999999999</v>
      </c>
      <c r="F85" s="619">
        <v>0.50829999999999997</v>
      </c>
      <c r="G85" s="619">
        <v>4.0663</v>
      </c>
      <c r="H85" s="619">
        <v>29.369399999999999</v>
      </c>
      <c r="I85" s="619">
        <v>0</v>
      </c>
      <c r="J85" s="619">
        <v>39.264800000000001</v>
      </c>
      <c r="K85" s="619">
        <v>5.8291000000000004</v>
      </c>
    </row>
    <row r="86" spans="1:11" ht="9" customHeight="1" x14ac:dyDescent="0.25">
      <c r="A86" s="617" t="s">
        <v>622</v>
      </c>
      <c r="B86" s="618" t="s">
        <v>623</v>
      </c>
      <c r="C86" s="619">
        <v>17457729.260000002</v>
      </c>
      <c r="D86" s="619">
        <v>872.88649999999996</v>
      </c>
      <c r="E86" s="619">
        <v>307.75479999999999</v>
      </c>
      <c r="F86" s="619">
        <v>124.6981</v>
      </c>
      <c r="G86" s="619">
        <v>1122.2826</v>
      </c>
      <c r="H86" s="619">
        <v>136.92150000000001</v>
      </c>
      <c r="I86" s="619">
        <v>27.6343</v>
      </c>
      <c r="J86" s="619">
        <v>2592.1777999999999</v>
      </c>
      <c r="K86" s="619">
        <v>1332.9737</v>
      </c>
    </row>
    <row r="87" spans="1:11" ht="9" customHeight="1" x14ac:dyDescent="0.25">
      <c r="A87" s="617" t="s">
        <v>624</v>
      </c>
      <c r="B87" s="618" t="s">
        <v>625</v>
      </c>
      <c r="C87" s="619">
        <v>29391310.52</v>
      </c>
      <c r="D87" s="619">
        <v>1469.5654999999999</v>
      </c>
      <c r="E87" s="619">
        <v>518.1268</v>
      </c>
      <c r="F87" s="619">
        <v>209.93790000000001</v>
      </c>
      <c r="G87" s="619">
        <v>1889.4413999999999</v>
      </c>
      <c r="H87" s="619">
        <v>152.13499999999999</v>
      </c>
      <c r="I87" s="619">
        <v>27.6343</v>
      </c>
      <c r="J87" s="619">
        <v>4266.8409000000001</v>
      </c>
      <c r="K87" s="619">
        <v>2225.2645000000002</v>
      </c>
    </row>
    <row r="88" spans="1:11" ht="9" customHeight="1" x14ac:dyDescent="0.25">
      <c r="A88" s="617" t="s">
        <v>626</v>
      </c>
      <c r="B88" s="618" t="s">
        <v>627</v>
      </c>
      <c r="C88" s="619">
        <v>280456.41710000002</v>
      </c>
      <c r="D88" s="619">
        <v>19.631900000000002</v>
      </c>
      <c r="E88" s="619">
        <v>5.1912000000000003</v>
      </c>
      <c r="F88" s="619">
        <v>0</v>
      </c>
      <c r="G88" s="619">
        <v>19.631900000000002</v>
      </c>
      <c r="H88" s="619">
        <v>69.221400000000003</v>
      </c>
      <c r="I88" s="619">
        <v>26.8781</v>
      </c>
      <c r="J88" s="619">
        <v>140.55449999999999</v>
      </c>
      <c r="K88" s="619">
        <v>51.7012</v>
      </c>
    </row>
    <row r="89" spans="1:11" ht="9" customHeight="1" x14ac:dyDescent="0.25">
      <c r="A89" s="617" t="s">
        <v>628</v>
      </c>
      <c r="B89" s="618" t="s">
        <v>629</v>
      </c>
      <c r="C89" s="619">
        <v>49659.156900000002</v>
      </c>
      <c r="D89" s="619">
        <v>3.9727000000000001</v>
      </c>
      <c r="E89" s="619">
        <v>0.91920000000000002</v>
      </c>
      <c r="F89" s="619">
        <v>0</v>
      </c>
      <c r="G89" s="619">
        <v>3.4761000000000002</v>
      </c>
      <c r="H89" s="619">
        <v>20.881799999999998</v>
      </c>
      <c r="I89" s="619">
        <v>0</v>
      </c>
      <c r="J89" s="619">
        <v>29.2498</v>
      </c>
      <c r="K89" s="619">
        <v>4.8918999999999997</v>
      </c>
    </row>
    <row r="90" spans="1:11" ht="9" customHeight="1" x14ac:dyDescent="0.25">
      <c r="A90" s="617" t="s">
        <v>630</v>
      </c>
      <c r="B90" s="618" t="s">
        <v>631</v>
      </c>
      <c r="C90" s="619">
        <v>57364.955199999997</v>
      </c>
      <c r="D90" s="619">
        <v>4.5891999999999999</v>
      </c>
      <c r="E90" s="619">
        <v>1.0618000000000001</v>
      </c>
      <c r="F90" s="619">
        <v>0</v>
      </c>
      <c r="G90" s="619">
        <v>4.0155000000000003</v>
      </c>
      <c r="H90" s="619">
        <v>9.5297000000000001</v>
      </c>
      <c r="I90" s="619">
        <v>20.121700000000001</v>
      </c>
      <c r="J90" s="619">
        <v>39.317900000000002</v>
      </c>
      <c r="K90" s="619">
        <v>25.7727</v>
      </c>
    </row>
    <row r="91" spans="1:11" ht="9" customHeight="1" x14ac:dyDescent="0.25">
      <c r="A91" s="617" t="s">
        <v>632</v>
      </c>
      <c r="B91" s="618" t="s">
        <v>633</v>
      </c>
      <c r="C91" s="619">
        <v>48583.411899999999</v>
      </c>
      <c r="D91" s="619">
        <v>3.8866999999999998</v>
      </c>
      <c r="E91" s="619">
        <v>0.89929999999999999</v>
      </c>
      <c r="F91" s="619">
        <v>0</v>
      </c>
      <c r="G91" s="619">
        <v>3.4007999999999998</v>
      </c>
      <c r="H91" s="619">
        <v>9.5297000000000001</v>
      </c>
      <c r="I91" s="619">
        <v>20.121700000000001</v>
      </c>
      <c r="J91" s="619">
        <v>37.838200000000001</v>
      </c>
      <c r="K91" s="619">
        <v>24.907699999999998</v>
      </c>
    </row>
    <row r="92" spans="1:11" ht="9" customHeight="1" x14ac:dyDescent="0.25">
      <c r="A92" s="617" t="s">
        <v>634</v>
      </c>
      <c r="B92" s="618" t="s">
        <v>635</v>
      </c>
      <c r="C92" s="619">
        <v>5361309.0760000004</v>
      </c>
      <c r="D92" s="619">
        <v>69.808700000000002</v>
      </c>
      <c r="E92" s="619">
        <v>31.107500000000002</v>
      </c>
      <c r="F92" s="619">
        <v>0</v>
      </c>
      <c r="G92" s="619">
        <v>155.13050000000001</v>
      </c>
      <c r="H92" s="619">
        <v>430.11610000000002</v>
      </c>
      <c r="I92" s="619">
        <v>122.28959999999999</v>
      </c>
      <c r="J92" s="619">
        <v>808.45240000000001</v>
      </c>
      <c r="K92" s="619">
        <v>223.20580000000001</v>
      </c>
    </row>
    <row r="93" spans="1:11" ht="9" customHeight="1" x14ac:dyDescent="0.25">
      <c r="A93" s="617" t="s">
        <v>636</v>
      </c>
      <c r="B93" s="618" t="s">
        <v>637</v>
      </c>
      <c r="C93" s="619">
        <v>2043853.3359999999</v>
      </c>
      <c r="D93" s="619">
        <v>15.967599999999999</v>
      </c>
      <c r="E93" s="619">
        <v>11.494</v>
      </c>
      <c r="F93" s="619">
        <v>0</v>
      </c>
      <c r="G93" s="619">
        <v>26.6127</v>
      </c>
      <c r="H93" s="619">
        <v>0</v>
      </c>
      <c r="I93" s="619">
        <v>22.455200000000001</v>
      </c>
      <c r="J93" s="619">
        <v>76.529499999999999</v>
      </c>
      <c r="K93" s="619">
        <v>49.916800000000002</v>
      </c>
    </row>
    <row r="94" spans="1:11" ht="9" customHeight="1" x14ac:dyDescent="0.25">
      <c r="A94" s="617" t="s">
        <v>638</v>
      </c>
      <c r="B94" s="618" t="s">
        <v>639</v>
      </c>
      <c r="C94" s="619">
        <v>9401.0650000000005</v>
      </c>
      <c r="D94" s="619">
        <v>0.62670000000000003</v>
      </c>
      <c r="E94" s="619">
        <v>0.16919999999999999</v>
      </c>
      <c r="F94" s="619">
        <v>0</v>
      </c>
      <c r="G94" s="619">
        <v>0.62670000000000003</v>
      </c>
      <c r="H94" s="619">
        <v>4.8272000000000004</v>
      </c>
      <c r="I94" s="619">
        <v>0</v>
      </c>
      <c r="J94" s="619">
        <v>6.2497999999999996</v>
      </c>
      <c r="K94" s="619">
        <v>0.79590000000000005</v>
      </c>
    </row>
    <row r="95" spans="1:11" ht="9" customHeight="1" x14ac:dyDescent="0.25">
      <c r="A95" s="617" t="s">
        <v>640</v>
      </c>
      <c r="B95" s="618" t="s">
        <v>641</v>
      </c>
      <c r="C95" s="619">
        <v>9762216.8679000009</v>
      </c>
      <c r="D95" s="619">
        <v>156.19550000000001</v>
      </c>
      <c r="E95" s="619">
        <v>156.60550000000001</v>
      </c>
      <c r="F95" s="619">
        <v>0</v>
      </c>
      <c r="G95" s="619">
        <v>195.24430000000001</v>
      </c>
      <c r="H95" s="619">
        <v>292.0992</v>
      </c>
      <c r="I95" s="619">
        <v>72.446799999999996</v>
      </c>
      <c r="J95" s="619">
        <v>872.59130000000005</v>
      </c>
      <c r="K95" s="619">
        <v>385.24779999999998</v>
      </c>
    </row>
    <row r="96" spans="1:11" ht="9" customHeight="1" x14ac:dyDescent="0.25">
      <c r="A96" s="617" t="s">
        <v>642</v>
      </c>
      <c r="B96" s="618" t="s">
        <v>643</v>
      </c>
      <c r="C96" s="619">
        <v>1343305.5249999999</v>
      </c>
      <c r="D96" s="619">
        <v>134.3306</v>
      </c>
      <c r="E96" s="619">
        <v>26.640599999999999</v>
      </c>
      <c r="F96" s="619">
        <v>0</v>
      </c>
      <c r="G96" s="619">
        <v>134.3306</v>
      </c>
      <c r="H96" s="619">
        <v>136.43469999999999</v>
      </c>
      <c r="I96" s="619">
        <v>26.8781</v>
      </c>
      <c r="J96" s="619">
        <v>458.6146</v>
      </c>
      <c r="K96" s="619">
        <v>187.8493</v>
      </c>
    </row>
    <row r="97" spans="1:11" ht="9" customHeight="1" x14ac:dyDescent="0.25">
      <c r="A97" s="617" t="s">
        <v>644</v>
      </c>
      <c r="B97" s="618" t="s">
        <v>645</v>
      </c>
      <c r="C97" s="619">
        <v>198800.3774</v>
      </c>
      <c r="D97" s="619">
        <v>17.891999999999999</v>
      </c>
      <c r="E97" s="619">
        <v>3.6798000000000002</v>
      </c>
      <c r="F97" s="619">
        <v>0</v>
      </c>
      <c r="G97" s="619">
        <v>17.891999999999999</v>
      </c>
      <c r="H97" s="619">
        <v>0</v>
      </c>
      <c r="I97" s="619">
        <v>20.121700000000001</v>
      </c>
      <c r="J97" s="619">
        <v>59.585500000000003</v>
      </c>
      <c r="K97" s="619">
        <v>41.6935</v>
      </c>
    </row>
    <row r="98" spans="1:11" ht="9" customHeight="1" x14ac:dyDescent="0.25">
      <c r="A98" s="617" t="s">
        <v>646</v>
      </c>
      <c r="B98" s="618" t="s">
        <v>647</v>
      </c>
      <c r="C98" s="619">
        <v>22679.6646</v>
      </c>
      <c r="D98" s="619">
        <v>2.0411999999999999</v>
      </c>
      <c r="E98" s="619">
        <v>0.41980000000000001</v>
      </c>
      <c r="F98" s="619">
        <v>0</v>
      </c>
      <c r="G98" s="619">
        <v>1.1339999999999999</v>
      </c>
      <c r="H98" s="619">
        <v>0</v>
      </c>
      <c r="I98" s="619">
        <v>0</v>
      </c>
      <c r="J98" s="619">
        <v>3.5950000000000002</v>
      </c>
      <c r="K98" s="619">
        <v>2.4609999999999999</v>
      </c>
    </row>
    <row r="99" spans="1:11" ht="9" customHeight="1" x14ac:dyDescent="0.25">
      <c r="A99" s="617" t="s">
        <v>648</v>
      </c>
      <c r="B99" s="618" t="s">
        <v>649</v>
      </c>
      <c r="C99" s="619">
        <v>152711.7268</v>
      </c>
      <c r="D99" s="619">
        <v>13.7441</v>
      </c>
      <c r="E99" s="619">
        <v>2.8267000000000002</v>
      </c>
      <c r="F99" s="619">
        <v>0</v>
      </c>
      <c r="G99" s="619">
        <v>7.6356000000000002</v>
      </c>
      <c r="H99" s="619">
        <v>0</v>
      </c>
      <c r="I99" s="619">
        <v>0</v>
      </c>
      <c r="J99" s="619">
        <v>24.206399999999999</v>
      </c>
      <c r="K99" s="619">
        <v>16.570799999999998</v>
      </c>
    </row>
    <row r="100" spans="1:11" ht="9" customHeight="1" x14ac:dyDescent="0.25">
      <c r="A100" s="617" t="s">
        <v>650</v>
      </c>
      <c r="B100" s="618" t="s">
        <v>651</v>
      </c>
      <c r="C100" s="619">
        <v>7628.9665999999997</v>
      </c>
      <c r="D100" s="619">
        <v>0.68659999999999999</v>
      </c>
      <c r="E100" s="619">
        <v>0.14119999999999999</v>
      </c>
      <c r="F100" s="619">
        <v>0</v>
      </c>
      <c r="G100" s="619">
        <v>0.38140000000000002</v>
      </c>
      <c r="H100" s="619">
        <v>0</v>
      </c>
      <c r="I100" s="619">
        <v>0</v>
      </c>
      <c r="J100" s="619">
        <v>1.2092000000000001</v>
      </c>
      <c r="K100" s="619">
        <v>0.82779999999999998</v>
      </c>
    </row>
    <row r="101" spans="1:11" ht="9" customHeight="1" x14ac:dyDescent="0.25">
      <c r="A101" s="617" t="s">
        <v>652</v>
      </c>
      <c r="B101" s="618" t="s">
        <v>653</v>
      </c>
      <c r="C101" s="619">
        <v>696222.47210000001</v>
      </c>
      <c r="D101" s="619">
        <v>69.622200000000007</v>
      </c>
      <c r="E101" s="619">
        <v>13.807600000000001</v>
      </c>
      <c r="F101" s="619">
        <v>0</v>
      </c>
      <c r="G101" s="619">
        <v>69.622200000000007</v>
      </c>
      <c r="H101" s="619">
        <v>121.4037</v>
      </c>
      <c r="I101" s="619">
        <v>26.8781</v>
      </c>
      <c r="J101" s="619">
        <v>301.3338</v>
      </c>
      <c r="K101" s="619">
        <v>110.3079</v>
      </c>
    </row>
    <row r="102" spans="1:11" ht="9" customHeight="1" x14ac:dyDescent="0.25">
      <c r="A102" s="617" t="s">
        <v>654</v>
      </c>
      <c r="B102" s="618" t="s">
        <v>655</v>
      </c>
      <c r="C102" s="619">
        <v>442550.92849999998</v>
      </c>
      <c r="D102" s="619">
        <v>35.4041</v>
      </c>
      <c r="E102" s="619">
        <v>8.1915999999999993</v>
      </c>
      <c r="F102" s="619">
        <v>0</v>
      </c>
      <c r="G102" s="619">
        <v>35.4041</v>
      </c>
      <c r="H102" s="619">
        <v>50.569699999999997</v>
      </c>
      <c r="I102" s="619">
        <v>20.121700000000001</v>
      </c>
      <c r="J102" s="619">
        <v>149.69120000000001</v>
      </c>
      <c r="K102" s="619">
        <v>63.717399999999998</v>
      </c>
    </row>
    <row r="103" spans="1:11" ht="9" customHeight="1" x14ac:dyDescent="0.25">
      <c r="A103" s="617" t="s">
        <v>656</v>
      </c>
      <c r="B103" s="618" t="s">
        <v>657</v>
      </c>
      <c r="C103" s="619">
        <v>468590.5993</v>
      </c>
      <c r="D103" s="619">
        <v>32.801299999999998</v>
      </c>
      <c r="E103" s="619">
        <v>8.6736000000000004</v>
      </c>
      <c r="F103" s="619">
        <v>0</v>
      </c>
      <c r="G103" s="619">
        <v>32.801299999999998</v>
      </c>
      <c r="H103" s="619">
        <v>84.282799999999995</v>
      </c>
      <c r="I103" s="619">
        <v>26.8781</v>
      </c>
      <c r="J103" s="619">
        <v>185.43709999999999</v>
      </c>
      <c r="K103" s="619">
        <v>68.352999999999994</v>
      </c>
    </row>
    <row r="104" spans="1:11" ht="9" customHeight="1" x14ac:dyDescent="0.25">
      <c r="A104" s="617" t="s">
        <v>658</v>
      </c>
      <c r="B104" s="618" t="s">
        <v>659</v>
      </c>
      <c r="C104" s="619">
        <v>3939051.4</v>
      </c>
      <c r="D104" s="619">
        <v>275.73360000000002</v>
      </c>
      <c r="E104" s="619">
        <v>72.911799999999999</v>
      </c>
      <c r="F104" s="619">
        <v>0</v>
      </c>
      <c r="G104" s="619">
        <v>275.73360000000002</v>
      </c>
      <c r="H104" s="619">
        <v>204.10429999999999</v>
      </c>
      <c r="I104" s="619">
        <v>20.121700000000001</v>
      </c>
      <c r="J104" s="619">
        <v>848.60500000000002</v>
      </c>
      <c r="K104" s="619">
        <v>368.76710000000003</v>
      </c>
    </row>
    <row r="105" spans="1:11" ht="9" customHeight="1" x14ac:dyDescent="0.25">
      <c r="A105" s="617" t="s">
        <v>660</v>
      </c>
      <c r="B105" s="618" t="s">
        <v>661</v>
      </c>
      <c r="C105" s="619">
        <v>66044.043799999999</v>
      </c>
      <c r="D105" s="619">
        <v>4.4028999999999998</v>
      </c>
      <c r="E105" s="619">
        <v>1.1884999999999999</v>
      </c>
      <c r="F105" s="619">
        <v>0</v>
      </c>
      <c r="G105" s="619">
        <v>4.4028999999999998</v>
      </c>
      <c r="H105" s="619">
        <v>0</v>
      </c>
      <c r="I105" s="619">
        <v>20.121700000000001</v>
      </c>
      <c r="J105" s="619">
        <v>30.116</v>
      </c>
      <c r="K105" s="619">
        <v>25.713100000000001</v>
      </c>
    </row>
    <row r="106" spans="1:11" ht="9" customHeight="1" x14ac:dyDescent="0.25">
      <c r="A106" s="617" t="s">
        <v>662</v>
      </c>
      <c r="B106" s="618" t="s">
        <v>663</v>
      </c>
      <c r="C106" s="619">
        <v>5017445.5509000001</v>
      </c>
      <c r="D106" s="619">
        <v>334.49639999999999</v>
      </c>
      <c r="E106" s="619">
        <v>90.293099999999995</v>
      </c>
      <c r="F106" s="619">
        <v>0</v>
      </c>
      <c r="G106" s="619">
        <v>334.49639999999999</v>
      </c>
      <c r="H106" s="619">
        <v>118.0568</v>
      </c>
      <c r="I106" s="619">
        <v>26.8781</v>
      </c>
      <c r="J106" s="619">
        <v>904.22080000000005</v>
      </c>
      <c r="K106" s="619">
        <v>451.66759999999999</v>
      </c>
    </row>
    <row r="107" spans="1:11" ht="9" customHeight="1" x14ac:dyDescent="0.25">
      <c r="A107" s="617" t="s">
        <v>47</v>
      </c>
      <c r="B107" s="618" t="s">
        <v>664</v>
      </c>
      <c r="C107" s="619">
        <v>186333.57829999999</v>
      </c>
      <c r="D107" s="619">
        <v>9.3167000000000009</v>
      </c>
      <c r="E107" s="619">
        <v>3.3532000000000002</v>
      </c>
      <c r="F107" s="619">
        <v>1.3587</v>
      </c>
      <c r="G107" s="619">
        <v>9.3167000000000009</v>
      </c>
      <c r="H107" s="619">
        <v>28.2971</v>
      </c>
      <c r="I107" s="619">
        <v>24.4191</v>
      </c>
      <c r="J107" s="619">
        <v>76.061499999999995</v>
      </c>
      <c r="K107" s="619">
        <v>38.447699999999998</v>
      </c>
    </row>
    <row r="108" spans="1:11" ht="9" customHeight="1" x14ac:dyDescent="0.25">
      <c r="A108" s="617" t="s">
        <v>665</v>
      </c>
      <c r="B108" s="618" t="s">
        <v>666</v>
      </c>
      <c r="C108" s="619">
        <v>86348367.400000006</v>
      </c>
      <c r="D108" s="619">
        <v>971.41909999999996</v>
      </c>
      <c r="E108" s="619">
        <v>699.25990000000002</v>
      </c>
      <c r="F108" s="619">
        <v>0</v>
      </c>
      <c r="G108" s="619">
        <v>2158.7091999999998</v>
      </c>
      <c r="H108" s="619">
        <v>1156.2260000000001</v>
      </c>
      <c r="I108" s="619">
        <v>62.293999999999997</v>
      </c>
      <c r="J108" s="619">
        <v>5047.9081999999999</v>
      </c>
      <c r="K108" s="619">
        <v>1732.973</v>
      </c>
    </row>
    <row r="109" spans="1:11" ht="9" customHeight="1" x14ac:dyDescent="0.25">
      <c r="A109" s="617" t="s">
        <v>667</v>
      </c>
      <c r="B109" s="618" t="s">
        <v>668</v>
      </c>
      <c r="C109" s="619">
        <v>1219775.3470000001</v>
      </c>
      <c r="D109" s="619">
        <v>139.40289999999999</v>
      </c>
      <c r="E109" s="619">
        <v>24.190799999999999</v>
      </c>
      <c r="F109" s="619">
        <v>0</v>
      </c>
      <c r="G109" s="619">
        <v>174.25360000000001</v>
      </c>
      <c r="H109" s="619">
        <v>59.332700000000003</v>
      </c>
      <c r="I109" s="619">
        <v>26.8781</v>
      </c>
      <c r="J109" s="619">
        <v>424.05810000000002</v>
      </c>
      <c r="K109" s="619">
        <v>190.4718</v>
      </c>
    </row>
    <row r="110" spans="1:11" ht="9" customHeight="1" x14ac:dyDescent="0.25">
      <c r="A110" s="617" t="s">
        <v>669</v>
      </c>
      <c r="B110" s="618" t="s">
        <v>670</v>
      </c>
      <c r="C110" s="619">
        <v>470150.9</v>
      </c>
      <c r="D110" s="619">
        <v>20.1493</v>
      </c>
      <c r="E110" s="619">
        <v>8.2881</v>
      </c>
      <c r="F110" s="619">
        <v>3.3582000000000001</v>
      </c>
      <c r="G110" s="619">
        <v>30.224</v>
      </c>
      <c r="H110" s="619">
        <v>128.34110000000001</v>
      </c>
      <c r="I110" s="619">
        <v>22.944199999999999</v>
      </c>
      <c r="J110" s="619">
        <v>213.3049</v>
      </c>
      <c r="K110" s="619">
        <v>54.739800000000002</v>
      </c>
    </row>
    <row r="111" spans="1:11" ht="9" customHeight="1" x14ac:dyDescent="0.25">
      <c r="A111" s="617" t="s">
        <v>671</v>
      </c>
      <c r="B111" s="618" t="s">
        <v>672</v>
      </c>
      <c r="C111" s="619">
        <v>86976.761199999994</v>
      </c>
      <c r="D111" s="619">
        <v>6.9581</v>
      </c>
      <c r="E111" s="619">
        <v>1.6099000000000001</v>
      </c>
      <c r="F111" s="619">
        <v>0</v>
      </c>
      <c r="G111" s="619">
        <v>4.3487999999999998</v>
      </c>
      <c r="H111" s="619">
        <v>0</v>
      </c>
      <c r="I111" s="619">
        <v>0</v>
      </c>
      <c r="J111" s="619">
        <v>12.9168</v>
      </c>
      <c r="K111" s="619">
        <v>8.5679999999999996</v>
      </c>
    </row>
    <row r="112" spans="1:11" ht="9" customHeight="1" x14ac:dyDescent="0.25">
      <c r="A112" s="617" t="s">
        <v>673</v>
      </c>
      <c r="B112" s="618" t="s">
        <v>674</v>
      </c>
      <c r="C112" s="619">
        <v>283101.7268</v>
      </c>
      <c r="D112" s="619">
        <v>11.3241</v>
      </c>
      <c r="E112" s="619">
        <v>4.8034999999999997</v>
      </c>
      <c r="F112" s="619">
        <v>0</v>
      </c>
      <c r="G112" s="619">
        <v>7.0774999999999997</v>
      </c>
      <c r="H112" s="619">
        <v>0</v>
      </c>
      <c r="I112" s="619">
        <v>20.121700000000001</v>
      </c>
      <c r="J112" s="619">
        <v>43.326799999999999</v>
      </c>
      <c r="K112" s="619">
        <v>36.249299999999998</v>
      </c>
    </row>
    <row r="113" spans="1:11" ht="9" customHeight="1" x14ac:dyDescent="0.25">
      <c r="A113" s="617" t="s">
        <v>675</v>
      </c>
      <c r="B113" s="618" t="s">
        <v>676</v>
      </c>
      <c r="C113" s="619">
        <v>92919.384900000005</v>
      </c>
      <c r="D113" s="619">
        <v>5.3097000000000003</v>
      </c>
      <c r="E113" s="619">
        <v>1.6379999999999999</v>
      </c>
      <c r="F113" s="619">
        <v>0</v>
      </c>
      <c r="G113" s="619">
        <v>5.3097000000000003</v>
      </c>
      <c r="H113" s="619">
        <v>0</v>
      </c>
      <c r="I113" s="619">
        <v>36.223399999999998</v>
      </c>
      <c r="J113" s="619">
        <v>48.480800000000002</v>
      </c>
      <c r="K113" s="619">
        <v>43.171100000000003</v>
      </c>
    </row>
    <row r="114" spans="1:11" ht="9" customHeight="1" x14ac:dyDescent="0.25">
      <c r="A114" s="617" t="s">
        <v>677</v>
      </c>
      <c r="B114" s="618" t="s">
        <v>678</v>
      </c>
      <c r="C114" s="619">
        <v>259390.60019999999</v>
      </c>
      <c r="D114" s="619">
        <v>20.751200000000001</v>
      </c>
      <c r="E114" s="619">
        <v>4.8013000000000003</v>
      </c>
      <c r="F114" s="619">
        <v>0</v>
      </c>
      <c r="G114" s="619">
        <v>20.751200000000001</v>
      </c>
      <c r="H114" s="619">
        <v>11.550700000000001</v>
      </c>
      <c r="I114" s="619">
        <v>0</v>
      </c>
      <c r="J114" s="619">
        <v>57.854399999999998</v>
      </c>
      <c r="K114" s="619">
        <v>25.552499999999998</v>
      </c>
    </row>
    <row r="115" spans="1:11" ht="9" customHeight="1" x14ac:dyDescent="0.25">
      <c r="A115" s="617" t="s">
        <v>679</v>
      </c>
      <c r="B115" s="618" t="s">
        <v>680</v>
      </c>
      <c r="C115" s="619">
        <v>4132763.9067000002</v>
      </c>
      <c r="D115" s="619">
        <v>236.15790000000001</v>
      </c>
      <c r="E115" s="619">
        <v>72.854699999999994</v>
      </c>
      <c r="F115" s="619">
        <v>0</v>
      </c>
      <c r="G115" s="619">
        <v>236.15790000000001</v>
      </c>
      <c r="H115" s="619">
        <v>186.2132</v>
      </c>
      <c r="I115" s="619">
        <v>36.223399999999998</v>
      </c>
      <c r="J115" s="619">
        <v>767.60709999999995</v>
      </c>
      <c r="K115" s="619">
        <v>345.23599999999999</v>
      </c>
    </row>
    <row r="116" spans="1:11" ht="9" customHeight="1" x14ac:dyDescent="0.25">
      <c r="A116" s="617" t="s">
        <v>681</v>
      </c>
      <c r="B116" s="618" t="s">
        <v>682</v>
      </c>
      <c r="C116" s="619">
        <v>1294.9139</v>
      </c>
      <c r="D116" s="619">
        <v>0.1101</v>
      </c>
      <c r="E116" s="619">
        <v>2.4E-2</v>
      </c>
      <c r="F116" s="619">
        <v>0</v>
      </c>
      <c r="G116" s="619">
        <v>0.1036</v>
      </c>
      <c r="H116" s="619">
        <v>0</v>
      </c>
      <c r="I116" s="619">
        <v>0</v>
      </c>
      <c r="J116" s="619">
        <v>0.23769999999999999</v>
      </c>
      <c r="K116" s="619">
        <v>0.1341</v>
      </c>
    </row>
    <row r="117" spans="1:11" ht="9" customHeight="1" x14ac:dyDescent="0.25">
      <c r="A117" s="617" t="s">
        <v>683</v>
      </c>
      <c r="B117" s="618" t="s">
        <v>684</v>
      </c>
      <c r="C117" s="619">
        <v>1129.4683</v>
      </c>
      <c r="D117" s="619">
        <v>9.6000000000000002E-2</v>
      </c>
      <c r="E117" s="619">
        <v>2.0899999999999998E-2</v>
      </c>
      <c r="F117" s="619">
        <v>0</v>
      </c>
      <c r="G117" s="619">
        <v>9.0399999999999994E-2</v>
      </c>
      <c r="H117" s="619">
        <v>0</v>
      </c>
      <c r="I117" s="619">
        <v>0</v>
      </c>
      <c r="J117" s="619">
        <v>0.20730000000000001</v>
      </c>
      <c r="K117" s="619">
        <v>0.1169</v>
      </c>
    </row>
    <row r="118" spans="1:11" ht="9" customHeight="1" x14ac:dyDescent="0.25">
      <c r="A118" s="617" t="s">
        <v>685</v>
      </c>
      <c r="B118" s="618" t="s">
        <v>686</v>
      </c>
      <c r="C118" s="619">
        <v>403293.45939999999</v>
      </c>
      <c r="D118" s="619">
        <v>25.925999999999998</v>
      </c>
      <c r="E118" s="619">
        <v>7.1094999999999997</v>
      </c>
      <c r="F118" s="619">
        <v>0</v>
      </c>
      <c r="G118" s="619">
        <v>8.6419999999999995</v>
      </c>
      <c r="H118" s="619">
        <v>31.948399999999999</v>
      </c>
      <c r="I118" s="619">
        <v>20.121700000000001</v>
      </c>
      <c r="J118" s="619">
        <v>93.747600000000006</v>
      </c>
      <c r="K118" s="619">
        <v>53.157200000000003</v>
      </c>
    </row>
    <row r="119" spans="1:11" ht="9" customHeight="1" x14ac:dyDescent="0.25">
      <c r="A119" s="617" t="s">
        <v>687</v>
      </c>
      <c r="B119" s="618" t="s">
        <v>688</v>
      </c>
      <c r="C119" s="619">
        <v>91698.429099999994</v>
      </c>
      <c r="D119" s="619">
        <v>5.8948999999999998</v>
      </c>
      <c r="E119" s="619">
        <v>1.6165</v>
      </c>
      <c r="F119" s="619">
        <v>0</v>
      </c>
      <c r="G119" s="619">
        <v>1.9650000000000001</v>
      </c>
      <c r="H119" s="619">
        <v>4.4302000000000001</v>
      </c>
      <c r="I119" s="619">
        <v>0</v>
      </c>
      <c r="J119" s="619">
        <v>13.906599999999999</v>
      </c>
      <c r="K119" s="619">
        <v>7.5114000000000001</v>
      </c>
    </row>
    <row r="120" spans="1:11" ht="9" customHeight="1" x14ac:dyDescent="0.25">
      <c r="A120" s="617" t="s">
        <v>689</v>
      </c>
      <c r="B120" s="618" t="s">
        <v>690</v>
      </c>
      <c r="C120" s="619">
        <v>2108.431</v>
      </c>
      <c r="D120" s="619">
        <v>0.33729999999999999</v>
      </c>
      <c r="E120" s="619">
        <v>7.8100000000000003E-2</v>
      </c>
      <c r="F120" s="619">
        <v>0</v>
      </c>
      <c r="G120" s="619">
        <v>0.29520000000000002</v>
      </c>
      <c r="H120" s="619">
        <v>5.6029999999999998</v>
      </c>
      <c r="I120" s="619">
        <v>0</v>
      </c>
      <c r="J120" s="619">
        <v>6.3136000000000001</v>
      </c>
      <c r="K120" s="619">
        <v>0.41539999999999999</v>
      </c>
    </row>
    <row r="121" spans="1:11" ht="9" customHeight="1" x14ac:dyDescent="0.25">
      <c r="A121" s="617" t="s">
        <v>691</v>
      </c>
      <c r="B121" s="618" t="s">
        <v>692</v>
      </c>
      <c r="C121" s="619">
        <v>8250000</v>
      </c>
      <c r="D121" s="619">
        <v>132</v>
      </c>
      <c r="E121" s="619">
        <v>132.34649999999999</v>
      </c>
      <c r="F121" s="619">
        <v>0</v>
      </c>
      <c r="G121" s="619">
        <v>165</v>
      </c>
      <c r="H121" s="619">
        <v>1633.5648000000001</v>
      </c>
      <c r="I121" s="619">
        <v>27.758900000000001</v>
      </c>
      <c r="J121" s="619">
        <v>2090.6702</v>
      </c>
      <c r="K121" s="619">
        <v>292.10539999999997</v>
      </c>
    </row>
    <row r="122" spans="1:11" ht="9" customHeight="1" x14ac:dyDescent="0.25">
      <c r="A122" s="617" t="s">
        <v>693</v>
      </c>
      <c r="B122" s="618" t="s">
        <v>694</v>
      </c>
      <c r="C122" s="619">
        <v>8250000</v>
      </c>
      <c r="D122" s="619">
        <v>132</v>
      </c>
      <c r="E122" s="619">
        <v>132.34649999999999</v>
      </c>
      <c r="F122" s="619">
        <v>0</v>
      </c>
      <c r="G122" s="619">
        <v>165</v>
      </c>
      <c r="H122" s="619">
        <v>1633.5648000000001</v>
      </c>
      <c r="I122" s="619">
        <v>27.758900000000001</v>
      </c>
      <c r="J122" s="619">
        <v>2090.6702</v>
      </c>
      <c r="K122" s="619">
        <v>292.10539999999997</v>
      </c>
    </row>
    <row r="123" spans="1:11" ht="9" customHeight="1" x14ac:dyDescent="0.25">
      <c r="A123" s="617" t="s">
        <v>695</v>
      </c>
      <c r="B123" s="618" t="s">
        <v>696</v>
      </c>
      <c r="C123" s="619">
        <v>550333.33330000006</v>
      </c>
      <c r="D123" s="619">
        <v>8.7135999999999996</v>
      </c>
      <c r="E123" s="619">
        <v>8.7719000000000005</v>
      </c>
      <c r="F123" s="619">
        <v>0</v>
      </c>
      <c r="G123" s="619">
        <v>4.5861000000000001</v>
      </c>
      <c r="H123" s="619">
        <v>0</v>
      </c>
      <c r="I123" s="619">
        <v>0</v>
      </c>
      <c r="J123" s="619">
        <v>22.0716</v>
      </c>
      <c r="K123" s="619">
        <v>17.485499999999998</v>
      </c>
    </row>
    <row r="124" spans="1:11" ht="9" customHeight="1" x14ac:dyDescent="0.25">
      <c r="A124" s="617" t="s">
        <v>697</v>
      </c>
      <c r="B124" s="618" t="s">
        <v>698</v>
      </c>
      <c r="C124" s="619">
        <v>597888.88879999996</v>
      </c>
      <c r="D124" s="619">
        <v>9.4665999999999997</v>
      </c>
      <c r="E124" s="619">
        <v>9.5298999999999996</v>
      </c>
      <c r="F124" s="619">
        <v>0</v>
      </c>
      <c r="G124" s="619">
        <v>4.9824000000000002</v>
      </c>
      <c r="H124" s="619">
        <v>0</v>
      </c>
      <c r="I124" s="619">
        <v>0</v>
      </c>
      <c r="J124" s="619">
        <v>23.978899999999999</v>
      </c>
      <c r="K124" s="619">
        <v>18.996500000000001</v>
      </c>
    </row>
    <row r="125" spans="1:11" ht="9" customHeight="1" x14ac:dyDescent="0.25">
      <c r="A125" s="617" t="s">
        <v>699</v>
      </c>
      <c r="B125" s="618" t="s">
        <v>700</v>
      </c>
      <c r="C125" s="619">
        <v>678000</v>
      </c>
      <c r="D125" s="619">
        <v>10.734999999999999</v>
      </c>
      <c r="E125" s="619">
        <v>10.806800000000001</v>
      </c>
      <c r="F125" s="619">
        <v>0</v>
      </c>
      <c r="G125" s="619">
        <v>5.65</v>
      </c>
      <c r="H125" s="619">
        <v>0</v>
      </c>
      <c r="I125" s="619">
        <v>0</v>
      </c>
      <c r="J125" s="619">
        <v>27.191800000000001</v>
      </c>
      <c r="K125" s="619">
        <v>21.541799999999999</v>
      </c>
    </row>
    <row r="126" spans="1:11" ht="9" customHeight="1" x14ac:dyDescent="0.25">
      <c r="A126" s="617" t="s">
        <v>701</v>
      </c>
      <c r="B126" s="618" t="s">
        <v>702</v>
      </c>
      <c r="C126" s="619">
        <v>775000</v>
      </c>
      <c r="D126" s="619">
        <v>12.270799999999999</v>
      </c>
      <c r="E126" s="619">
        <v>12.3529</v>
      </c>
      <c r="F126" s="619">
        <v>0</v>
      </c>
      <c r="G126" s="619">
        <v>6.4583000000000004</v>
      </c>
      <c r="H126" s="619">
        <v>0</v>
      </c>
      <c r="I126" s="619">
        <v>0</v>
      </c>
      <c r="J126" s="619">
        <v>31.082000000000001</v>
      </c>
      <c r="K126" s="619">
        <v>24.623699999999999</v>
      </c>
    </row>
    <row r="127" spans="1:11" ht="9" customHeight="1" x14ac:dyDescent="0.25">
      <c r="A127" s="617" t="s">
        <v>703</v>
      </c>
      <c r="B127" s="618" t="s">
        <v>704</v>
      </c>
      <c r="C127" s="619">
        <v>743833.33330000006</v>
      </c>
      <c r="D127" s="619">
        <v>11.7774</v>
      </c>
      <c r="E127" s="619">
        <v>11.8561</v>
      </c>
      <c r="F127" s="619">
        <v>0</v>
      </c>
      <c r="G127" s="619">
        <v>6.1985999999999999</v>
      </c>
      <c r="H127" s="619">
        <v>0</v>
      </c>
      <c r="I127" s="619">
        <v>0</v>
      </c>
      <c r="J127" s="619">
        <v>29.832100000000001</v>
      </c>
      <c r="K127" s="619">
        <v>23.633500000000002</v>
      </c>
    </row>
    <row r="128" spans="1:11" ht="9" customHeight="1" x14ac:dyDescent="0.25">
      <c r="A128" s="617" t="s">
        <v>705</v>
      </c>
      <c r="B128" s="618" t="s">
        <v>706</v>
      </c>
      <c r="C128" s="619">
        <v>713666.6666</v>
      </c>
      <c r="D128" s="619">
        <v>11.2997</v>
      </c>
      <c r="E128" s="619">
        <v>11.375299999999999</v>
      </c>
      <c r="F128" s="619">
        <v>0</v>
      </c>
      <c r="G128" s="619">
        <v>5.9471999999999996</v>
      </c>
      <c r="H128" s="619">
        <v>0</v>
      </c>
      <c r="I128" s="619">
        <v>0</v>
      </c>
      <c r="J128" s="619">
        <v>28.622199999999999</v>
      </c>
      <c r="K128" s="619">
        <v>22.675000000000001</v>
      </c>
    </row>
    <row r="129" spans="1:11" ht="9" customHeight="1" x14ac:dyDescent="0.25">
      <c r="A129" s="617" t="s">
        <v>707</v>
      </c>
      <c r="B129" s="618" t="s">
        <v>708</v>
      </c>
      <c r="C129" s="619">
        <v>2532073.4619999998</v>
      </c>
      <c r="D129" s="619">
        <v>40.513199999999998</v>
      </c>
      <c r="E129" s="619">
        <v>40.619500000000002</v>
      </c>
      <c r="F129" s="619">
        <v>0</v>
      </c>
      <c r="G129" s="619">
        <v>50.641500000000001</v>
      </c>
      <c r="H129" s="619">
        <v>65.722300000000004</v>
      </c>
      <c r="I129" s="619">
        <v>36.223399999999998</v>
      </c>
      <c r="J129" s="619">
        <v>233.7199</v>
      </c>
      <c r="K129" s="619">
        <v>117.3561</v>
      </c>
    </row>
    <row r="130" spans="1:11" ht="9" customHeight="1" x14ac:dyDescent="0.25">
      <c r="A130" s="617" t="s">
        <v>709</v>
      </c>
      <c r="B130" s="618" t="s">
        <v>710</v>
      </c>
      <c r="C130" s="619">
        <v>1686012.3529999999</v>
      </c>
      <c r="D130" s="619">
        <v>118.0209</v>
      </c>
      <c r="E130" s="619">
        <v>31.208100000000002</v>
      </c>
      <c r="F130" s="619">
        <v>0</v>
      </c>
      <c r="G130" s="619">
        <v>118.0209</v>
      </c>
      <c r="H130" s="619">
        <v>94.932199999999995</v>
      </c>
      <c r="I130" s="619">
        <v>26.8781</v>
      </c>
      <c r="J130" s="619">
        <v>389.06020000000001</v>
      </c>
      <c r="K130" s="619">
        <v>176.1071</v>
      </c>
    </row>
    <row r="131" spans="1:11" ht="9" customHeight="1" x14ac:dyDescent="0.25">
      <c r="A131" s="617" t="s">
        <v>711</v>
      </c>
      <c r="B131" s="618" t="s">
        <v>712</v>
      </c>
      <c r="C131" s="619">
        <v>696222.47210000001</v>
      </c>
      <c r="D131" s="619">
        <v>69.622200000000007</v>
      </c>
      <c r="E131" s="619">
        <v>13.807600000000001</v>
      </c>
      <c r="F131" s="619">
        <v>0</v>
      </c>
      <c r="G131" s="619">
        <v>69.622200000000007</v>
      </c>
      <c r="H131" s="619">
        <v>121.4037</v>
      </c>
      <c r="I131" s="619">
        <v>33.292700000000004</v>
      </c>
      <c r="J131" s="619">
        <v>307.7484</v>
      </c>
      <c r="K131" s="619">
        <v>116.7225</v>
      </c>
    </row>
    <row r="132" spans="1:11" ht="9" customHeight="1" x14ac:dyDescent="0.25">
      <c r="A132" s="617" t="s">
        <v>713</v>
      </c>
      <c r="B132" s="618" t="s">
        <v>714</v>
      </c>
      <c r="C132" s="619">
        <v>1703902.798</v>
      </c>
      <c r="D132" s="619">
        <v>194.73169999999999</v>
      </c>
      <c r="E132" s="619">
        <v>33.792000000000002</v>
      </c>
      <c r="F132" s="619">
        <v>0</v>
      </c>
      <c r="G132" s="619">
        <v>243.41470000000001</v>
      </c>
      <c r="H132" s="619">
        <v>81.483500000000006</v>
      </c>
      <c r="I132" s="619">
        <v>33.292700000000004</v>
      </c>
      <c r="J132" s="619">
        <v>586.71460000000002</v>
      </c>
      <c r="K132" s="619">
        <v>261.81639999999999</v>
      </c>
    </row>
    <row r="133" spans="1:11" ht="9" customHeight="1" x14ac:dyDescent="0.25">
      <c r="A133" s="617" t="s">
        <v>715</v>
      </c>
      <c r="B133" s="618" t="s">
        <v>716</v>
      </c>
      <c r="C133" s="619">
        <v>2540221.2182999998</v>
      </c>
      <c r="D133" s="619">
        <v>169.34809999999999</v>
      </c>
      <c r="E133" s="619">
        <v>45.7134</v>
      </c>
      <c r="F133" s="619">
        <v>0</v>
      </c>
      <c r="G133" s="619">
        <v>169.34809999999999</v>
      </c>
      <c r="H133" s="619">
        <v>132.35749999999999</v>
      </c>
      <c r="I133" s="619">
        <v>33.292700000000004</v>
      </c>
      <c r="J133" s="619">
        <v>550.0598</v>
      </c>
      <c r="K133" s="619">
        <v>248.35419999999999</v>
      </c>
    </row>
    <row r="134" spans="1:11" ht="9" customHeight="1" x14ac:dyDescent="0.25">
      <c r="A134" s="617" t="s">
        <v>717</v>
      </c>
      <c r="B134" s="618" t="s">
        <v>718</v>
      </c>
      <c r="C134" s="619">
        <v>921999.85</v>
      </c>
      <c r="D134" s="619">
        <v>73.760000000000005</v>
      </c>
      <c r="E134" s="619">
        <v>17.066199999999998</v>
      </c>
      <c r="F134" s="619">
        <v>0</v>
      </c>
      <c r="G134" s="619">
        <v>55.32</v>
      </c>
      <c r="H134" s="619">
        <v>0</v>
      </c>
      <c r="I134" s="619">
        <v>0</v>
      </c>
      <c r="J134" s="619">
        <v>146.14619999999999</v>
      </c>
      <c r="K134" s="619">
        <v>90.8262</v>
      </c>
    </row>
    <row r="135" spans="1:11" ht="9" customHeight="1" x14ac:dyDescent="0.25">
      <c r="A135" s="617" t="s">
        <v>719</v>
      </c>
      <c r="B135" s="618" t="s">
        <v>720</v>
      </c>
      <c r="C135" s="619">
        <v>87280.6535</v>
      </c>
      <c r="D135" s="619">
        <v>6.9824999999999999</v>
      </c>
      <c r="E135" s="619">
        <v>1.6155999999999999</v>
      </c>
      <c r="F135" s="619">
        <v>0</v>
      </c>
      <c r="G135" s="619">
        <v>6.9824999999999999</v>
      </c>
      <c r="H135" s="619">
        <v>0</v>
      </c>
      <c r="I135" s="619">
        <v>0</v>
      </c>
      <c r="J135" s="619">
        <v>15.5806</v>
      </c>
      <c r="K135" s="619">
        <v>8.5981000000000005</v>
      </c>
    </row>
    <row r="136" spans="1:11" ht="9" customHeight="1" x14ac:dyDescent="0.25">
      <c r="A136" s="617" t="s">
        <v>721</v>
      </c>
      <c r="B136" s="618" t="s">
        <v>722</v>
      </c>
      <c r="C136" s="619">
        <v>4171.4769999999999</v>
      </c>
      <c r="D136" s="619">
        <v>0.3337</v>
      </c>
      <c r="E136" s="619">
        <v>7.7200000000000005E-2</v>
      </c>
      <c r="F136" s="619">
        <v>0</v>
      </c>
      <c r="G136" s="619">
        <v>0.3337</v>
      </c>
      <c r="H136" s="619">
        <v>0</v>
      </c>
      <c r="I136" s="619">
        <v>0</v>
      </c>
      <c r="J136" s="619">
        <v>0.74460000000000004</v>
      </c>
      <c r="K136" s="619">
        <v>0.41089999999999999</v>
      </c>
    </row>
    <row r="137" spans="1:11" ht="9" customHeight="1" x14ac:dyDescent="0.25">
      <c r="A137" s="617" t="s">
        <v>723</v>
      </c>
      <c r="B137" s="618" t="s">
        <v>724</v>
      </c>
      <c r="C137" s="619">
        <v>18431.553899999999</v>
      </c>
      <c r="D137" s="619">
        <v>1.4744999999999999</v>
      </c>
      <c r="E137" s="619">
        <v>0.3412</v>
      </c>
      <c r="F137" s="619">
        <v>0</v>
      </c>
      <c r="G137" s="619">
        <v>1.4744999999999999</v>
      </c>
      <c r="H137" s="619">
        <v>0</v>
      </c>
      <c r="I137" s="619">
        <v>26.311800000000002</v>
      </c>
      <c r="J137" s="619">
        <v>29.602</v>
      </c>
      <c r="K137" s="619">
        <v>28.127500000000001</v>
      </c>
    </row>
    <row r="138" spans="1:11" ht="9" customHeight="1" x14ac:dyDescent="0.25">
      <c r="A138" s="617" t="s">
        <v>725</v>
      </c>
      <c r="B138" s="618" t="s">
        <v>726</v>
      </c>
      <c r="C138" s="619">
        <v>8811662.4201999996</v>
      </c>
      <c r="D138" s="619">
        <v>587.44420000000002</v>
      </c>
      <c r="E138" s="619">
        <v>158.57320000000001</v>
      </c>
      <c r="F138" s="619">
        <v>0</v>
      </c>
      <c r="G138" s="619">
        <v>734.30520000000001</v>
      </c>
      <c r="H138" s="619">
        <v>198.07980000000001</v>
      </c>
      <c r="I138" s="619">
        <v>45.503900000000002</v>
      </c>
      <c r="J138" s="619">
        <v>1723.9063000000001</v>
      </c>
      <c r="K138" s="619">
        <v>791.5213</v>
      </c>
    </row>
    <row r="139" spans="1:11" ht="9" customHeight="1" x14ac:dyDescent="0.25">
      <c r="A139" s="617" t="s">
        <v>727</v>
      </c>
      <c r="B139" s="618" t="s">
        <v>728</v>
      </c>
      <c r="C139" s="619">
        <v>30022.1335</v>
      </c>
      <c r="D139" s="619">
        <v>2.4018000000000002</v>
      </c>
      <c r="E139" s="619">
        <v>0.55569999999999997</v>
      </c>
      <c r="F139" s="619">
        <v>0</v>
      </c>
      <c r="G139" s="619">
        <v>2.4018000000000002</v>
      </c>
      <c r="H139" s="619">
        <v>0</v>
      </c>
      <c r="I139" s="619">
        <v>0</v>
      </c>
      <c r="J139" s="619">
        <v>5.3593000000000002</v>
      </c>
      <c r="K139" s="619">
        <v>2.9575</v>
      </c>
    </row>
    <row r="140" spans="1:11" ht="9" customHeight="1" x14ac:dyDescent="0.25">
      <c r="A140" s="617" t="s">
        <v>729</v>
      </c>
      <c r="B140" s="618" t="s">
        <v>730</v>
      </c>
      <c r="C140" s="619">
        <v>4839.6373999999996</v>
      </c>
      <c r="D140" s="619">
        <v>0.43559999999999999</v>
      </c>
      <c r="E140" s="619">
        <v>8.9599999999999999E-2</v>
      </c>
      <c r="F140" s="619">
        <v>0</v>
      </c>
      <c r="G140" s="619">
        <v>0.24199999999999999</v>
      </c>
      <c r="H140" s="619">
        <v>0</v>
      </c>
      <c r="I140" s="619">
        <v>0</v>
      </c>
      <c r="J140" s="619">
        <v>0.76719999999999999</v>
      </c>
      <c r="K140" s="619">
        <v>0.5252</v>
      </c>
    </row>
    <row r="141" spans="1:11" ht="9" customHeight="1" x14ac:dyDescent="0.25">
      <c r="A141" s="617" t="s">
        <v>731</v>
      </c>
      <c r="B141" s="618" t="s">
        <v>732</v>
      </c>
      <c r="C141" s="619">
        <v>80092.7791</v>
      </c>
      <c r="D141" s="619">
        <v>3.2037</v>
      </c>
      <c r="E141" s="619">
        <v>1.359</v>
      </c>
      <c r="F141" s="619">
        <v>0</v>
      </c>
      <c r="G141" s="619">
        <v>2.8031999999999999</v>
      </c>
      <c r="H141" s="619">
        <v>0</v>
      </c>
      <c r="I141" s="619">
        <v>0</v>
      </c>
      <c r="J141" s="619">
        <v>7.3658999999999999</v>
      </c>
      <c r="K141" s="619">
        <v>4.5627000000000004</v>
      </c>
    </row>
    <row r="142" spans="1:11" ht="9" customHeight="1" x14ac:dyDescent="0.25">
      <c r="A142" s="617" t="s">
        <v>733</v>
      </c>
      <c r="B142" s="618" t="s">
        <v>734</v>
      </c>
      <c r="C142" s="619">
        <v>16599.519799999998</v>
      </c>
      <c r="D142" s="619">
        <v>0.66400000000000003</v>
      </c>
      <c r="E142" s="619">
        <v>0.28170000000000001</v>
      </c>
      <c r="F142" s="619">
        <v>0</v>
      </c>
      <c r="G142" s="619">
        <v>0.58099999999999996</v>
      </c>
      <c r="H142" s="619">
        <v>0</v>
      </c>
      <c r="I142" s="619">
        <v>0</v>
      </c>
      <c r="J142" s="619">
        <v>1.5266999999999999</v>
      </c>
      <c r="K142" s="619">
        <v>0.94569999999999999</v>
      </c>
    </row>
    <row r="143" spans="1:11" ht="9" customHeight="1" x14ac:dyDescent="0.25">
      <c r="A143" s="617" t="s">
        <v>735</v>
      </c>
      <c r="B143" s="618" t="s">
        <v>736</v>
      </c>
      <c r="C143" s="619">
        <v>20571.255300000001</v>
      </c>
      <c r="D143" s="619">
        <v>1.6456999999999999</v>
      </c>
      <c r="E143" s="619">
        <v>0.38080000000000003</v>
      </c>
      <c r="F143" s="619">
        <v>0</v>
      </c>
      <c r="G143" s="619">
        <v>1.6456999999999999</v>
      </c>
      <c r="H143" s="619">
        <v>0</v>
      </c>
      <c r="I143" s="619">
        <v>0</v>
      </c>
      <c r="J143" s="619">
        <v>3.6722000000000001</v>
      </c>
      <c r="K143" s="619">
        <v>2.0265</v>
      </c>
    </row>
    <row r="144" spans="1:11" ht="9" customHeight="1" x14ac:dyDescent="0.25">
      <c r="A144" s="617" t="s">
        <v>737</v>
      </c>
      <c r="B144" s="618" t="s">
        <v>738</v>
      </c>
      <c r="C144" s="619">
        <v>60081.451999999997</v>
      </c>
      <c r="D144" s="619">
        <v>3.4331999999999998</v>
      </c>
      <c r="E144" s="619">
        <v>1.0591999999999999</v>
      </c>
      <c r="F144" s="619">
        <v>0</v>
      </c>
      <c r="G144" s="619">
        <v>3.4331999999999998</v>
      </c>
      <c r="H144" s="619">
        <v>0</v>
      </c>
      <c r="I144" s="619">
        <v>20.121700000000001</v>
      </c>
      <c r="J144" s="619">
        <v>28.0473</v>
      </c>
      <c r="K144" s="619">
        <v>24.614100000000001</v>
      </c>
    </row>
    <row r="145" spans="1:11" ht="9" customHeight="1" x14ac:dyDescent="0.25">
      <c r="A145" s="617" t="s">
        <v>739</v>
      </c>
      <c r="B145" s="618" t="s">
        <v>740</v>
      </c>
      <c r="C145" s="619">
        <v>487774.3873</v>
      </c>
      <c r="D145" s="619">
        <v>43.899700000000003</v>
      </c>
      <c r="E145" s="619">
        <v>9.0287000000000006</v>
      </c>
      <c r="F145" s="619">
        <v>0</v>
      </c>
      <c r="G145" s="619">
        <v>29.266500000000001</v>
      </c>
      <c r="H145" s="619">
        <v>0</v>
      </c>
      <c r="I145" s="619">
        <v>0</v>
      </c>
      <c r="J145" s="619">
        <v>82.194900000000004</v>
      </c>
      <c r="K145" s="619">
        <v>52.928400000000003</v>
      </c>
    </row>
    <row r="146" spans="1:11" ht="9" customHeight="1" x14ac:dyDescent="0.25">
      <c r="A146" s="617" t="s">
        <v>741</v>
      </c>
      <c r="B146" s="618" t="s">
        <v>742</v>
      </c>
      <c r="C146" s="619">
        <v>1040992.8342</v>
      </c>
      <c r="D146" s="619">
        <v>59.485300000000002</v>
      </c>
      <c r="E146" s="619">
        <v>18.351199999999999</v>
      </c>
      <c r="F146" s="619">
        <v>0</v>
      </c>
      <c r="G146" s="619">
        <v>44.613999999999997</v>
      </c>
      <c r="H146" s="619">
        <v>94.141099999999994</v>
      </c>
      <c r="I146" s="619">
        <v>26.8781</v>
      </c>
      <c r="J146" s="619">
        <v>243.46969999999999</v>
      </c>
      <c r="K146" s="619">
        <v>104.7146</v>
      </c>
    </row>
    <row r="147" spans="1:11" ht="9" customHeight="1" x14ac:dyDescent="0.25">
      <c r="A147" s="617" t="s">
        <v>743</v>
      </c>
      <c r="B147" s="618" t="s">
        <v>744</v>
      </c>
      <c r="C147" s="619">
        <v>1316489.0033</v>
      </c>
      <c r="D147" s="619">
        <v>52.659599999999998</v>
      </c>
      <c r="E147" s="619">
        <v>22.337499999999999</v>
      </c>
      <c r="F147" s="619">
        <v>0</v>
      </c>
      <c r="G147" s="619">
        <v>46.077100000000002</v>
      </c>
      <c r="H147" s="619">
        <v>0</v>
      </c>
      <c r="I147" s="619">
        <v>20.121700000000001</v>
      </c>
      <c r="J147" s="619">
        <v>141.19589999999999</v>
      </c>
      <c r="K147" s="619">
        <v>95.118799999999993</v>
      </c>
    </row>
    <row r="148" spans="1:11" ht="9" customHeight="1" x14ac:dyDescent="0.25">
      <c r="A148" s="617" t="s">
        <v>745</v>
      </c>
      <c r="B148" s="618" t="s">
        <v>746</v>
      </c>
      <c r="C148" s="619">
        <v>831788.80229999998</v>
      </c>
      <c r="D148" s="619">
        <v>33.271599999999999</v>
      </c>
      <c r="E148" s="619">
        <v>14.1134</v>
      </c>
      <c r="F148" s="619">
        <v>0</v>
      </c>
      <c r="G148" s="619">
        <v>29.1126</v>
      </c>
      <c r="H148" s="619">
        <v>0</v>
      </c>
      <c r="I148" s="619">
        <v>20.121700000000001</v>
      </c>
      <c r="J148" s="619">
        <v>96.619299999999996</v>
      </c>
      <c r="K148" s="619">
        <v>67.506699999999995</v>
      </c>
    </row>
    <row r="149" spans="1:11" ht="9" customHeight="1" x14ac:dyDescent="0.25">
      <c r="A149" s="617" t="s">
        <v>747</v>
      </c>
      <c r="B149" s="618" t="s">
        <v>748</v>
      </c>
      <c r="C149" s="619">
        <v>63115.581200000001</v>
      </c>
      <c r="D149" s="619">
        <v>9.4672999999999998</v>
      </c>
      <c r="E149" s="619">
        <v>1.2981</v>
      </c>
      <c r="F149" s="619">
        <v>0</v>
      </c>
      <c r="G149" s="619">
        <v>6.3116000000000003</v>
      </c>
      <c r="H149" s="619">
        <v>0</v>
      </c>
      <c r="I149" s="619">
        <v>0</v>
      </c>
      <c r="J149" s="619">
        <v>17.077000000000002</v>
      </c>
      <c r="K149" s="619">
        <v>10.7654</v>
      </c>
    </row>
    <row r="150" spans="1:11" ht="9" customHeight="1" x14ac:dyDescent="0.25">
      <c r="A150" s="617" t="s">
        <v>749</v>
      </c>
      <c r="B150" s="618" t="s">
        <v>750</v>
      </c>
      <c r="C150" s="619">
        <v>12127.642</v>
      </c>
      <c r="D150" s="619">
        <v>1.0914999999999999</v>
      </c>
      <c r="E150" s="619">
        <v>0.22450000000000001</v>
      </c>
      <c r="F150" s="619">
        <v>0</v>
      </c>
      <c r="G150" s="619">
        <v>0.72770000000000001</v>
      </c>
      <c r="H150" s="619">
        <v>0</v>
      </c>
      <c r="I150" s="619">
        <v>0</v>
      </c>
      <c r="J150" s="619">
        <v>2.0436999999999999</v>
      </c>
      <c r="K150" s="619">
        <v>1.3160000000000001</v>
      </c>
    </row>
    <row r="151" spans="1:11" ht="9" customHeight="1" x14ac:dyDescent="0.25">
      <c r="A151" s="617" t="s">
        <v>751</v>
      </c>
      <c r="B151" s="618" t="s">
        <v>752</v>
      </c>
      <c r="C151" s="619">
        <v>1670336.406</v>
      </c>
      <c r="D151" s="619">
        <v>116.9235</v>
      </c>
      <c r="E151" s="619">
        <v>30.917899999999999</v>
      </c>
      <c r="F151" s="619">
        <v>0</v>
      </c>
      <c r="G151" s="619">
        <v>116.9235</v>
      </c>
      <c r="H151" s="619">
        <v>94.932199999999995</v>
      </c>
      <c r="I151" s="619">
        <v>26.8781</v>
      </c>
      <c r="J151" s="619">
        <v>386.5752</v>
      </c>
      <c r="K151" s="619">
        <v>174.71950000000001</v>
      </c>
    </row>
    <row r="152" spans="1:11" ht="9" customHeight="1" x14ac:dyDescent="0.25">
      <c r="A152" s="617" t="s">
        <v>753</v>
      </c>
      <c r="B152" s="618" t="s">
        <v>754</v>
      </c>
      <c r="C152" s="619">
        <v>67772.492199999993</v>
      </c>
      <c r="D152" s="619">
        <v>4.0663</v>
      </c>
      <c r="E152" s="619">
        <v>1.2544999999999999</v>
      </c>
      <c r="F152" s="619">
        <v>0.50829999999999997</v>
      </c>
      <c r="G152" s="619">
        <v>4.0663</v>
      </c>
      <c r="H152" s="619">
        <v>29.369399999999999</v>
      </c>
      <c r="I152" s="619">
        <v>24.4191</v>
      </c>
      <c r="J152" s="619">
        <v>63.683900000000001</v>
      </c>
      <c r="K152" s="619">
        <v>30.248200000000001</v>
      </c>
    </row>
    <row r="153" spans="1:11" ht="9" customHeight="1" x14ac:dyDescent="0.25">
      <c r="A153" s="617" t="s">
        <v>755</v>
      </c>
      <c r="B153" s="618" t="s">
        <v>756</v>
      </c>
      <c r="C153" s="619">
        <v>249276.54180000001</v>
      </c>
      <c r="D153" s="619">
        <v>16.618400000000001</v>
      </c>
      <c r="E153" s="619">
        <v>4.4859</v>
      </c>
      <c r="F153" s="619">
        <v>0</v>
      </c>
      <c r="G153" s="619">
        <v>16.618400000000001</v>
      </c>
      <c r="H153" s="619">
        <v>83.796000000000006</v>
      </c>
      <c r="I153" s="619">
        <v>0</v>
      </c>
      <c r="J153" s="619">
        <v>121.5187</v>
      </c>
      <c r="K153" s="619">
        <v>21.104299999999999</v>
      </c>
    </row>
    <row r="154" spans="1:11" ht="9" customHeight="1" x14ac:dyDescent="0.25">
      <c r="A154" s="617" t="s">
        <v>757</v>
      </c>
      <c r="B154" s="618" t="s">
        <v>758</v>
      </c>
      <c r="C154" s="619">
        <v>803385.91079999995</v>
      </c>
      <c r="D154" s="619">
        <v>45.907800000000002</v>
      </c>
      <c r="E154" s="619">
        <v>14.1625</v>
      </c>
      <c r="F154" s="619">
        <v>0</v>
      </c>
      <c r="G154" s="619">
        <v>40.1693</v>
      </c>
      <c r="H154" s="619">
        <v>150.30940000000001</v>
      </c>
      <c r="I154" s="619">
        <v>26.8781</v>
      </c>
      <c r="J154" s="619">
        <v>277.4271</v>
      </c>
      <c r="K154" s="619">
        <v>86.948400000000007</v>
      </c>
    </row>
    <row r="155" spans="1:11" ht="9" customHeight="1" x14ac:dyDescent="0.25">
      <c r="A155" s="617" t="s">
        <v>176</v>
      </c>
      <c r="B155" s="618" t="s">
        <v>759</v>
      </c>
      <c r="C155" s="619">
        <v>1343305.5249999999</v>
      </c>
      <c r="D155" s="619">
        <v>94.031400000000005</v>
      </c>
      <c r="E155" s="619">
        <v>24.864599999999999</v>
      </c>
      <c r="F155" s="619">
        <v>0</v>
      </c>
      <c r="G155" s="619">
        <v>94.031400000000005</v>
      </c>
      <c r="H155" s="619">
        <v>93.35</v>
      </c>
      <c r="I155" s="619">
        <v>26.8781</v>
      </c>
      <c r="J155" s="619">
        <v>333.15550000000002</v>
      </c>
      <c r="K155" s="619">
        <v>145.7741</v>
      </c>
    </row>
    <row r="156" spans="1:11" ht="9" customHeight="1" x14ac:dyDescent="0.25">
      <c r="A156" s="617" t="s">
        <v>760</v>
      </c>
      <c r="B156" s="618" t="s">
        <v>761</v>
      </c>
      <c r="C156" s="619">
        <v>5186925.7940999996</v>
      </c>
      <c r="D156" s="619">
        <v>345.79509999999999</v>
      </c>
      <c r="E156" s="619">
        <v>93.343100000000007</v>
      </c>
      <c r="F156" s="619">
        <v>0</v>
      </c>
      <c r="G156" s="619">
        <v>345.79509999999999</v>
      </c>
      <c r="H156" s="619">
        <v>172.21680000000001</v>
      </c>
      <c r="I156" s="619">
        <v>26.8781</v>
      </c>
      <c r="J156" s="619">
        <v>984.02819999999997</v>
      </c>
      <c r="K156" s="619">
        <v>466.0163</v>
      </c>
    </row>
    <row r="157" spans="1:11" ht="9" customHeight="1" x14ac:dyDescent="0.25">
      <c r="A157" s="617" t="s">
        <v>762</v>
      </c>
      <c r="B157" s="618" t="s">
        <v>763</v>
      </c>
      <c r="C157" s="619">
        <v>618243.38450000004</v>
      </c>
      <c r="D157" s="619">
        <v>41.216200000000001</v>
      </c>
      <c r="E157" s="619">
        <v>11.1258</v>
      </c>
      <c r="F157" s="619">
        <v>0</v>
      </c>
      <c r="G157" s="619">
        <v>41.216200000000001</v>
      </c>
      <c r="H157" s="619">
        <v>250.35339999999999</v>
      </c>
      <c r="I157" s="619">
        <v>0</v>
      </c>
      <c r="J157" s="619">
        <v>343.91160000000002</v>
      </c>
      <c r="K157" s="619">
        <v>52.341999999999999</v>
      </c>
    </row>
    <row r="158" spans="1:11" ht="9" customHeight="1" x14ac:dyDescent="0.25">
      <c r="A158" s="617" t="s">
        <v>764</v>
      </c>
      <c r="B158" s="618" t="s">
        <v>765</v>
      </c>
      <c r="C158" s="619">
        <v>40928.040200000003</v>
      </c>
      <c r="D158" s="619">
        <v>2.6311</v>
      </c>
      <c r="E158" s="619">
        <v>0.72150000000000003</v>
      </c>
      <c r="F158" s="619">
        <v>0</v>
      </c>
      <c r="G158" s="619">
        <v>1.4617</v>
      </c>
      <c r="H158" s="619">
        <v>0</v>
      </c>
      <c r="I158" s="619">
        <v>0</v>
      </c>
      <c r="J158" s="619">
        <v>4.8143000000000002</v>
      </c>
      <c r="K158" s="619">
        <v>3.3525999999999998</v>
      </c>
    </row>
    <row r="159" spans="1:11" ht="9" customHeight="1" x14ac:dyDescent="0.25">
      <c r="A159" s="617" t="s">
        <v>175</v>
      </c>
      <c r="B159" s="618" t="s">
        <v>766</v>
      </c>
      <c r="C159" s="619">
        <v>34150.720399999998</v>
      </c>
      <c r="D159" s="619">
        <v>2.7321</v>
      </c>
      <c r="E159" s="619">
        <v>0.6321</v>
      </c>
      <c r="F159" s="619">
        <v>0</v>
      </c>
      <c r="G159" s="619">
        <v>2.0489999999999999</v>
      </c>
      <c r="H159" s="619">
        <v>21.549900000000001</v>
      </c>
      <c r="I159" s="619">
        <v>20.121700000000001</v>
      </c>
      <c r="J159" s="619">
        <v>47.084800000000001</v>
      </c>
      <c r="K159" s="619">
        <v>23.485900000000001</v>
      </c>
    </row>
    <row r="160" spans="1:11" ht="9" customHeight="1" x14ac:dyDescent="0.25">
      <c r="A160" s="617" t="s">
        <v>767</v>
      </c>
      <c r="B160" s="618" t="s">
        <v>768</v>
      </c>
      <c r="C160" s="619">
        <v>3173.8843000000002</v>
      </c>
      <c r="D160" s="619">
        <v>0.15870000000000001</v>
      </c>
      <c r="E160" s="619">
        <v>5.6000000000000001E-2</v>
      </c>
      <c r="F160" s="619">
        <v>0</v>
      </c>
      <c r="G160" s="619">
        <v>0.1134</v>
      </c>
      <c r="H160" s="619">
        <v>3.8420000000000001</v>
      </c>
      <c r="I160" s="619">
        <v>0</v>
      </c>
      <c r="J160" s="619">
        <v>4.1700999999999997</v>
      </c>
      <c r="K160" s="619">
        <v>0.2147</v>
      </c>
    </row>
    <row r="161" spans="1:11" ht="9" customHeight="1" x14ac:dyDescent="0.25">
      <c r="A161" s="617" t="s">
        <v>769</v>
      </c>
      <c r="B161" s="618" t="s">
        <v>770</v>
      </c>
      <c r="C161" s="619">
        <v>172771.7268</v>
      </c>
      <c r="D161" s="619">
        <v>11.1068</v>
      </c>
      <c r="E161" s="619">
        <v>3.0457000000000001</v>
      </c>
      <c r="F161" s="619">
        <v>0</v>
      </c>
      <c r="G161" s="619">
        <v>3.7023000000000001</v>
      </c>
      <c r="H161" s="619">
        <v>5.5377000000000001</v>
      </c>
      <c r="I161" s="619">
        <v>0</v>
      </c>
      <c r="J161" s="619">
        <v>23.392499999999998</v>
      </c>
      <c r="K161" s="619">
        <v>14.1525</v>
      </c>
    </row>
    <row r="162" spans="1:11" ht="9" customHeight="1" x14ac:dyDescent="0.25">
      <c r="A162" s="617" t="s">
        <v>771</v>
      </c>
      <c r="B162" s="618" t="s">
        <v>772</v>
      </c>
      <c r="C162" s="619">
        <v>5779737.7038000003</v>
      </c>
      <c r="D162" s="619">
        <v>271.98770000000002</v>
      </c>
      <c r="E162" s="619">
        <v>99.641000000000005</v>
      </c>
      <c r="F162" s="619">
        <v>0</v>
      </c>
      <c r="G162" s="619">
        <v>305.98610000000002</v>
      </c>
      <c r="H162" s="619">
        <v>295.9939</v>
      </c>
      <c r="I162" s="619">
        <v>26.8781</v>
      </c>
      <c r="J162" s="619">
        <v>1000.4868</v>
      </c>
      <c r="K162" s="619">
        <v>398.5068</v>
      </c>
    </row>
    <row r="163" spans="1:11" ht="9" customHeight="1" x14ac:dyDescent="0.25">
      <c r="A163" s="617" t="s">
        <v>773</v>
      </c>
      <c r="B163" s="618" t="s">
        <v>774</v>
      </c>
      <c r="C163" s="619">
        <v>908761.51240000001</v>
      </c>
      <c r="D163" s="619">
        <v>45.438099999999999</v>
      </c>
      <c r="E163" s="619">
        <v>16.020199999999999</v>
      </c>
      <c r="F163" s="619">
        <v>0</v>
      </c>
      <c r="G163" s="619">
        <v>58.420400000000001</v>
      </c>
      <c r="H163" s="619">
        <v>84.891300000000001</v>
      </c>
      <c r="I163" s="619">
        <v>26.8781</v>
      </c>
      <c r="J163" s="619">
        <v>231.6481</v>
      </c>
      <c r="K163" s="619">
        <v>88.336399999999998</v>
      </c>
    </row>
    <row r="164" spans="1:11" ht="9" customHeight="1" x14ac:dyDescent="0.25">
      <c r="A164" s="617" t="s">
        <v>775</v>
      </c>
      <c r="B164" s="618" t="s">
        <v>776</v>
      </c>
      <c r="C164" s="619">
        <v>2412124.7940000002</v>
      </c>
      <c r="D164" s="619">
        <v>96.484999999999999</v>
      </c>
      <c r="E164" s="619">
        <v>40.927700000000002</v>
      </c>
      <c r="F164" s="619">
        <v>0</v>
      </c>
      <c r="G164" s="619">
        <v>60.303100000000001</v>
      </c>
      <c r="H164" s="619">
        <v>0</v>
      </c>
      <c r="I164" s="619">
        <v>40.243400000000001</v>
      </c>
      <c r="J164" s="619">
        <v>237.95920000000001</v>
      </c>
      <c r="K164" s="619">
        <v>177.65610000000001</v>
      </c>
    </row>
    <row r="165" spans="1:11" ht="9" customHeight="1" x14ac:dyDescent="0.25">
      <c r="A165" s="617" t="s">
        <v>777</v>
      </c>
      <c r="B165" s="618" t="s">
        <v>778</v>
      </c>
      <c r="C165" s="619">
        <v>439069.44069999998</v>
      </c>
      <c r="D165" s="619">
        <v>30.7349</v>
      </c>
      <c r="E165" s="619">
        <v>8.1272000000000002</v>
      </c>
      <c r="F165" s="619">
        <v>0</v>
      </c>
      <c r="G165" s="619">
        <v>30.7349</v>
      </c>
      <c r="H165" s="619">
        <v>45.883899999999997</v>
      </c>
      <c r="I165" s="619">
        <v>26.8781</v>
      </c>
      <c r="J165" s="619">
        <v>142.35900000000001</v>
      </c>
      <c r="K165" s="619">
        <v>65.740200000000002</v>
      </c>
    </row>
    <row r="166" spans="1:11" ht="9" customHeight="1" x14ac:dyDescent="0.25">
      <c r="A166" s="617" t="s">
        <v>779</v>
      </c>
      <c r="B166" s="618" t="s">
        <v>780</v>
      </c>
      <c r="C166" s="619">
        <v>18431.553899999999</v>
      </c>
      <c r="D166" s="619">
        <v>1.4744999999999999</v>
      </c>
      <c r="E166" s="619">
        <v>0.3412</v>
      </c>
      <c r="F166" s="619">
        <v>0</v>
      </c>
      <c r="G166" s="619">
        <v>1.4744999999999999</v>
      </c>
      <c r="H166" s="619">
        <v>0</v>
      </c>
      <c r="I166" s="619">
        <v>20.121700000000001</v>
      </c>
      <c r="J166" s="619">
        <v>23.411899999999999</v>
      </c>
      <c r="K166" s="619">
        <v>21.9374</v>
      </c>
    </row>
    <row r="167" spans="1:11" ht="9" customHeight="1" x14ac:dyDescent="0.25">
      <c r="A167" s="617" t="s">
        <v>781</v>
      </c>
      <c r="B167" s="618" t="s">
        <v>782</v>
      </c>
      <c r="C167" s="619">
        <v>431846.66499999998</v>
      </c>
      <c r="D167" s="619">
        <v>34.547699999999999</v>
      </c>
      <c r="E167" s="619">
        <v>7.9935</v>
      </c>
      <c r="F167" s="619">
        <v>0</v>
      </c>
      <c r="G167" s="619">
        <v>30.229299999999999</v>
      </c>
      <c r="H167" s="619">
        <v>54.768599999999999</v>
      </c>
      <c r="I167" s="619">
        <v>20.121700000000001</v>
      </c>
      <c r="J167" s="619">
        <v>147.66079999999999</v>
      </c>
      <c r="K167" s="619">
        <v>62.6629</v>
      </c>
    </row>
    <row r="168" spans="1:11" ht="9" customHeight="1" x14ac:dyDescent="0.25">
      <c r="A168" s="617" t="s">
        <v>783</v>
      </c>
      <c r="B168" s="618" t="s">
        <v>784</v>
      </c>
      <c r="C168" s="619">
        <v>3604648.4786999999</v>
      </c>
      <c r="D168" s="619">
        <v>240.3099</v>
      </c>
      <c r="E168" s="619">
        <v>64.868700000000004</v>
      </c>
      <c r="F168" s="619">
        <v>0</v>
      </c>
      <c r="G168" s="619">
        <v>180.23240000000001</v>
      </c>
      <c r="H168" s="619">
        <v>0</v>
      </c>
      <c r="I168" s="619">
        <v>20.121700000000001</v>
      </c>
      <c r="J168" s="619">
        <v>505.53269999999998</v>
      </c>
      <c r="K168" s="619">
        <v>325.30029999999999</v>
      </c>
    </row>
    <row r="169" spans="1:11" ht="9" customHeight="1" x14ac:dyDescent="0.25">
      <c r="A169" s="617" t="s">
        <v>785</v>
      </c>
      <c r="B169" s="618" t="s">
        <v>786</v>
      </c>
      <c r="C169" s="619">
        <v>491284.82689999999</v>
      </c>
      <c r="D169" s="619">
        <v>32.752299999999998</v>
      </c>
      <c r="E169" s="619">
        <v>8.8411000000000008</v>
      </c>
      <c r="F169" s="619">
        <v>0</v>
      </c>
      <c r="G169" s="619">
        <v>32.752299999999998</v>
      </c>
      <c r="H169" s="619">
        <v>94.445400000000006</v>
      </c>
      <c r="I169" s="619">
        <v>26.8781</v>
      </c>
      <c r="J169" s="619">
        <v>195.66919999999999</v>
      </c>
      <c r="K169" s="619">
        <v>68.471500000000006</v>
      </c>
    </row>
    <row r="170" spans="1:11" ht="9" customHeight="1" x14ac:dyDescent="0.25">
      <c r="A170" s="617" t="s">
        <v>787</v>
      </c>
      <c r="B170" s="618" t="s">
        <v>788</v>
      </c>
      <c r="C170" s="619">
        <v>63578.235399999998</v>
      </c>
      <c r="D170" s="619">
        <v>5.0862999999999996</v>
      </c>
      <c r="E170" s="619">
        <v>1.1768000000000001</v>
      </c>
      <c r="F170" s="619">
        <v>0</v>
      </c>
      <c r="G170" s="619">
        <v>5.0862999999999996</v>
      </c>
      <c r="H170" s="619">
        <v>0</v>
      </c>
      <c r="I170" s="619">
        <v>0</v>
      </c>
      <c r="J170" s="619">
        <v>11.349399999999999</v>
      </c>
      <c r="K170" s="619">
        <v>6.2630999999999997</v>
      </c>
    </row>
    <row r="171" spans="1:11" ht="9" customHeight="1" x14ac:dyDescent="0.25">
      <c r="A171" s="617" t="s">
        <v>789</v>
      </c>
      <c r="B171" s="618" t="s">
        <v>790</v>
      </c>
      <c r="C171" s="619">
        <v>5702.0482000000002</v>
      </c>
      <c r="D171" s="619">
        <v>0.51319999999999999</v>
      </c>
      <c r="E171" s="619">
        <v>0.1055</v>
      </c>
      <c r="F171" s="619">
        <v>0</v>
      </c>
      <c r="G171" s="619">
        <v>0.28510000000000002</v>
      </c>
      <c r="H171" s="619">
        <v>0</v>
      </c>
      <c r="I171" s="619">
        <v>20.121700000000001</v>
      </c>
      <c r="J171" s="619">
        <v>21.025500000000001</v>
      </c>
      <c r="K171" s="619">
        <v>20.740400000000001</v>
      </c>
    </row>
    <row r="172" spans="1:11" ht="9" customHeight="1" x14ac:dyDescent="0.25">
      <c r="A172" s="617" t="s">
        <v>791</v>
      </c>
      <c r="B172" s="618" t="s">
        <v>792</v>
      </c>
      <c r="C172" s="619">
        <v>108800.75840000001</v>
      </c>
      <c r="D172" s="619">
        <v>1.7</v>
      </c>
      <c r="E172" s="619">
        <v>0.64100000000000001</v>
      </c>
      <c r="F172" s="619">
        <v>0</v>
      </c>
      <c r="G172" s="619">
        <v>1.8889</v>
      </c>
      <c r="H172" s="619">
        <v>73.885199999999998</v>
      </c>
      <c r="I172" s="619">
        <v>31.4925</v>
      </c>
      <c r="J172" s="619">
        <v>109.60760000000001</v>
      </c>
      <c r="K172" s="619">
        <v>33.833500000000001</v>
      </c>
    </row>
    <row r="173" spans="1:11" ht="9" customHeight="1" x14ac:dyDescent="0.25">
      <c r="A173" s="617" t="s">
        <v>793</v>
      </c>
      <c r="B173" s="618" t="s">
        <v>794</v>
      </c>
      <c r="C173" s="619">
        <v>14271.7233</v>
      </c>
      <c r="D173" s="619">
        <v>1.9029</v>
      </c>
      <c r="E173" s="619">
        <v>0.44030000000000002</v>
      </c>
      <c r="F173" s="619">
        <v>0</v>
      </c>
      <c r="G173" s="619">
        <v>1.4272</v>
      </c>
      <c r="H173" s="619">
        <v>0</v>
      </c>
      <c r="I173" s="619">
        <v>0</v>
      </c>
      <c r="J173" s="619">
        <v>3.7704</v>
      </c>
      <c r="K173" s="619">
        <v>2.3431999999999999</v>
      </c>
    </row>
    <row r="174" spans="1:11" ht="9" customHeight="1" x14ac:dyDescent="0.25">
      <c r="A174" s="617" t="s">
        <v>795</v>
      </c>
      <c r="B174" s="618" t="s">
        <v>796</v>
      </c>
      <c r="C174" s="619">
        <v>98234.236799999999</v>
      </c>
      <c r="D174" s="619">
        <v>6.3151000000000002</v>
      </c>
      <c r="E174" s="619">
        <v>1.7317</v>
      </c>
      <c r="F174" s="619">
        <v>0</v>
      </c>
      <c r="G174" s="619">
        <v>3.5084</v>
      </c>
      <c r="H174" s="619">
        <v>0</v>
      </c>
      <c r="I174" s="619">
        <v>24.800799999999999</v>
      </c>
      <c r="J174" s="619">
        <v>36.356000000000002</v>
      </c>
      <c r="K174" s="619">
        <v>32.8476</v>
      </c>
    </row>
    <row r="175" spans="1:11" ht="9" customHeight="1" x14ac:dyDescent="0.25">
      <c r="A175" s="617" t="s">
        <v>173</v>
      </c>
      <c r="B175" s="618" t="s">
        <v>797</v>
      </c>
      <c r="C175" s="619">
        <v>1041006.642</v>
      </c>
      <c r="D175" s="619">
        <v>40.483600000000003</v>
      </c>
      <c r="E175" s="619">
        <v>17.841699999999999</v>
      </c>
      <c r="F175" s="619">
        <v>0</v>
      </c>
      <c r="G175" s="619">
        <v>57.8337</v>
      </c>
      <c r="H175" s="619">
        <v>108.19840000000001</v>
      </c>
      <c r="I175" s="619">
        <v>26.8781</v>
      </c>
      <c r="J175" s="619">
        <v>251.2355</v>
      </c>
      <c r="K175" s="619">
        <v>85.203400000000002</v>
      </c>
    </row>
    <row r="176" spans="1:11" ht="9" customHeight="1" x14ac:dyDescent="0.25">
      <c r="A176" s="617" t="s">
        <v>798</v>
      </c>
      <c r="B176" s="618" t="s">
        <v>799</v>
      </c>
      <c r="C176" s="619">
        <v>4152722.9279999998</v>
      </c>
      <c r="D176" s="619">
        <v>161.4948</v>
      </c>
      <c r="E176" s="619">
        <v>71.173100000000005</v>
      </c>
      <c r="F176" s="619">
        <v>0</v>
      </c>
      <c r="G176" s="619">
        <v>230.70679999999999</v>
      </c>
      <c r="H176" s="619">
        <v>220.6566</v>
      </c>
      <c r="I176" s="619">
        <v>26.8781</v>
      </c>
      <c r="J176" s="619">
        <v>710.90940000000001</v>
      </c>
      <c r="K176" s="619">
        <v>259.54599999999999</v>
      </c>
    </row>
    <row r="177" spans="1:11" ht="9" customHeight="1" x14ac:dyDescent="0.25">
      <c r="A177" s="617" t="s">
        <v>800</v>
      </c>
      <c r="B177" s="618" t="s">
        <v>801</v>
      </c>
      <c r="C177" s="619">
        <v>50622.941099999996</v>
      </c>
      <c r="D177" s="619">
        <v>3.3748999999999998</v>
      </c>
      <c r="E177" s="619">
        <v>0.91100000000000003</v>
      </c>
      <c r="F177" s="619">
        <v>0</v>
      </c>
      <c r="G177" s="619">
        <v>3.3748999999999998</v>
      </c>
      <c r="H177" s="619">
        <v>0</v>
      </c>
      <c r="I177" s="619">
        <v>0</v>
      </c>
      <c r="J177" s="619">
        <v>7.6608000000000001</v>
      </c>
      <c r="K177" s="619">
        <v>4.2858999999999998</v>
      </c>
    </row>
    <row r="178" spans="1:11" ht="9" customHeight="1" x14ac:dyDescent="0.25">
      <c r="A178" s="617" t="s">
        <v>802</v>
      </c>
      <c r="B178" s="618" t="s">
        <v>803</v>
      </c>
      <c r="C178" s="619">
        <v>56513.4231</v>
      </c>
      <c r="D178" s="619">
        <v>5.0861999999999998</v>
      </c>
      <c r="E178" s="619">
        <v>1.0461</v>
      </c>
      <c r="F178" s="619">
        <v>0</v>
      </c>
      <c r="G178" s="619">
        <v>3.3908</v>
      </c>
      <c r="H178" s="619">
        <v>0</v>
      </c>
      <c r="I178" s="619">
        <v>0</v>
      </c>
      <c r="J178" s="619">
        <v>9.5230999999999995</v>
      </c>
      <c r="K178" s="619">
        <v>6.1322999999999999</v>
      </c>
    </row>
    <row r="179" spans="1:11" ht="9" customHeight="1" x14ac:dyDescent="0.25">
      <c r="A179" s="617" t="s">
        <v>436</v>
      </c>
      <c r="B179" s="618" t="s">
        <v>804</v>
      </c>
      <c r="C179" s="619">
        <v>1331236.727</v>
      </c>
      <c r="D179" s="619">
        <v>66.561800000000005</v>
      </c>
      <c r="E179" s="619">
        <v>23.4678</v>
      </c>
      <c r="F179" s="619">
        <v>0</v>
      </c>
      <c r="G179" s="619">
        <v>85.579499999999996</v>
      </c>
      <c r="H179" s="619">
        <v>94.810500000000005</v>
      </c>
      <c r="I179" s="619">
        <v>36.223399999999998</v>
      </c>
      <c r="J179" s="619">
        <v>306.64299999999997</v>
      </c>
      <c r="K179" s="619">
        <v>126.253</v>
      </c>
    </row>
    <row r="180" spans="1:11" ht="9" customHeight="1" x14ac:dyDescent="0.25">
      <c r="A180" s="617" t="s">
        <v>805</v>
      </c>
      <c r="B180" s="618" t="s">
        <v>806</v>
      </c>
      <c r="C180" s="619">
        <v>726.81809999999996</v>
      </c>
      <c r="D180" s="619">
        <v>5.8099999999999999E-2</v>
      </c>
      <c r="E180" s="619">
        <v>1.35E-2</v>
      </c>
      <c r="F180" s="619">
        <v>0</v>
      </c>
      <c r="G180" s="619">
        <v>5.8099999999999999E-2</v>
      </c>
      <c r="H180" s="619">
        <v>0</v>
      </c>
      <c r="I180" s="619">
        <v>0</v>
      </c>
      <c r="J180" s="619">
        <v>0.12970000000000001</v>
      </c>
      <c r="K180" s="619">
        <v>7.1599999999999997E-2</v>
      </c>
    </row>
    <row r="181" spans="1:11" ht="9" customHeight="1" x14ac:dyDescent="0.25">
      <c r="A181" s="617" t="s">
        <v>807</v>
      </c>
      <c r="B181" s="618" t="s">
        <v>808</v>
      </c>
      <c r="C181" s="619">
        <v>1957.6006</v>
      </c>
      <c r="D181" s="619">
        <v>0.15659999999999999</v>
      </c>
      <c r="E181" s="619">
        <v>3.6200000000000003E-2</v>
      </c>
      <c r="F181" s="619">
        <v>0</v>
      </c>
      <c r="G181" s="619">
        <v>0.13700000000000001</v>
      </c>
      <c r="H181" s="619">
        <v>0</v>
      </c>
      <c r="I181" s="619">
        <v>0</v>
      </c>
      <c r="J181" s="619">
        <v>0.32979999999999998</v>
      </c>
      <c r="K181" s="619">
        <v>0.1928</v>
      </c>
    </row>
    <row r="182" spans="1:11" ht="9" customHeight="1" x14ac:dyDescent="0.25">
      <c r="A182" s="617" t="s">
        <v>809</v>
      </c>
      <c r="B182" s="618" t="s">
        <v>810</v>
      </c>
      <c r="C182" s="619">
        <v>6173.6749</v>
      </c>
      <c r="D182" s="619">
        <v>0.55559999999999998</v>
      </c>
      <c r="E182" s="619">
        <v>0.1143</v>
      </c>
      <c r="F182" s="619">
        <v>0</v>
      </c>
      <c r="G182" s="619">
        <v>0.30869999999999997</v>
      </c>
      <c r="H182" s="619">
        <v>0</v>
      </c>
      <c r="I182" s="619">
        <v>0</v>
      </c>
      <c r="J182" s="619">
        <v>0.97860000000000003</v>
      </c>
      <c r="K182" s="619">
        <v>0.66990000000000005</v>
      </c>
    </row>
    <row r="183" spans="1:11" ht="9" customHeight="1" x14ac:dyDescent="0.25">
      <c r="A183" s="617" t="s">
        <v>811</v>
      </c>
      <c r="B183" s="618" t="s">
        <v>812</v>
      </c>
      <c r="C183" s="619">
        <v>12939.712100000001</v>
      </c>
      <c r="D183" s="619">
        <v>1.0351999999999999</v>
      </c>
      <c r="E183" s="619">
        <v>0.23949999999999999</v>
      </c>
      <c r="F183" s="619">
        <v>0</v>
      </c>
      <c r="G183" s="619">
        <v>0.64700000000000002</v>
      </c>
      <c r="H183" s="619">
        <v>0</v>
      </c>
      <c r="I183" s="619">
        <v>0</v>
      </c>
      <c r="J183" s="619">
        <v>1.9217</v>
      </c>
      <c r="K183" s="619">
        <v>1.2746999999999999</v>
      </c>
    </row>
    <row r="184" spans="1:11" ht="9" customHeight="1" x14ac:dyDescent="0.25">
      <c r="A184" s="617" t="s">
        <v>813</v>
      </c>
      <c r="B184" s="618" t="s">
        <v>814</v>
      </c>
      <c r="C184" s="619">
        <v>27988.064900000001</v>
      </c>
      <c r="D184" s="619">
        <v>2.5188999999999999</v>
      </c>
      <c r="E184" s="619">
        <v>0.5181</v>
      </c>
      <c r="F184" s="619">
        <v>0</v>
      </c>
      <c r="G184" s="619">
        <v>1.3994</v>
      </c>
      <c r="H184" s="619">
        <v>0</v>
      </c>
      <c r="I184" s="619">
        <v>0</v>
      </c>
      <c r="J184" s="619">
        <v>4.4363999999999999</v>
      </c>
      <c r="K184" s="619">
        <v>3.0369999999999999</v>
      </c>
    </row>
    <row r="185" spans="1:11" ht="9" customHeight="1" x14ac:dyDescent="0.25">
      <c r="A185" s="617" t="s">
        <v>815</v>
      </c>
      <c r="B185" s="618" t="s">
        <v>816</v>
      </c>
      <c r="C185" s="619">
        <v>9553.4218999999994</v>
      </c>
      <c r="D185" s="619">
        <v>0.63690000000000002</v>
      </c>
      <c r="E185" s="619">
        <v>0.1719</v>
      </c>
      <c r="F185" s="619">
        <v>0</v>
      </c>
      <c r="G185" s="619">
        <v>0.63690000000000002</v>
      </c>
      <c r="H185" s="619">
        <v>6.4649999999999999</v>
      </c>
      <c r="I185" s="619">
        <v>0</v>
      </c>
      <c r="J185" s="619">
        <v>7.9107000000000003</v>
      </c>
      <c r="K185" s="619">
        <v>0.80879999999999996</v>
      </c>
    </row>
    <row r="186" spans="1:11" ht="9" customHeight="1" x14ac:dyDescent="0.25">
      <c r="A186" s="617" t="s">
        <v>817</v>
      </c>
      <c r="B186" s="618" t="s">
        <v>818</v>
      </c>
      <c r="C186" s="619">
        <v>660328.12199999997</v>
      </c>
      <c r="D186" s="619">
        <v>27.5137</v>
      </c>
      <c r="E186" s="619">
        <v>9.5489999999999995</v>
      </c>
      <c r="F186" s="619">
        <v>0</v>
      </c>
      <c r="G186" s="619">
        <v>17.196000000000002</v>
      </c>
      <c r="H186" s="619">
        <v>0</v>
      </c>
      <c r="I186" s="619">
        <v>0</v>
      </c>
      <c r="J186" s="619">
        <v>54.258699999999997</v>
      </c>
      <c r="K186" s="619">
        <v>37.0627</v>
      </c>
    </row>
    <row r="187" spans="1:11" ht="9" customHeight="1" x14ac:dyDescent="0.25">
      <c r="A187" s="617" t="s">
        <v>819</v>
      </c>
      <c r="B187" s="618" t="s">
        <v>820</v>
      </c>
      <c r="C187" s="619">
        <v>730874.63870000001</v>
      </c>
      <c r="D187" s="619">
        <v>32.889400000000002</v>
      </c>
      <c r="E187" s="619">
        <v>10.1464</v>
      </c>
      <c r="F187" s="619">
        <v>0</v>
      </c>
      <c r="G187" s="619">
        <v>21.926200000000001</v>
      </c>
      <c r="H187" s="619">
        <v>10.9537</v>
      </c>
      <c r="I187" s="619">
        <v>0</v>
      </c>
      <c r="J187" s="619">
        <v>75.915700000000001</v>
      </c>
      <c r="K187" s="619">
        <v>43.035800000000002</v>
      </c>
    </row>
    <row r="188" spans="1:11" ht="9" customHeight="1" x14ac:dyDescent="0.25">
      <c r="A188" s="617" t="s">
        <v>821</v>
      </c>
      <c r="B188" s="618" t="s">
        <v>822</v>
      </c>
      <c r="C188" s="619">
        <v>810629.45180000004</v>
      </c>
      <c r="D188" s="619">
        <v>34.741300000000003</v>
      </c>
      <c r="E188" s="619">
        <v>14.2902</v>
      </c>
      <c r="F188" s="619">
        <v>5.7901999999999996</v>
      </c>
      <c r="G188" s="619">
        <v>52.111899999999999</v>
      </c>
      <c r="H188" s="619">
        <v>202.33959999999999</v>
      </c>
      <c r="I188" s="619">
        <v>22.944199999999999</v>
      </c>
      <c r="J188" s="619">
        <v>332.2174</v>
      </c>
      <c r="K188" s="619">
        <v>77.765900000000002</v>
      </c>
    </row>
    <row r="189" spans="1:11" ht="9" customHeight="1" x14ac:dyDescent="0.25">
      <c r="A189" s="617" t="s">
        <v>823</v>
      </c>
      <c r="B189" s="618" t="s">
        <v>824</v>
      </c>
      <c r="C189" s="619">
        <v>27881.427800000001</v>
      </c>
      <c r="D189" s="619">
        <v>2.2305000000000001</v>
      </c>
      <c r="E189" s="619">
        <v>0.5161</v>
      </c>
      <c r="F189" s="619">
        <v>0</v>
      </c>
      <c r="G189" s="619">
        <v>1.3940999999999999</v>
      </c>
      <c r="H189" s="619">
        <v>0</v>
      </c>
      <c r="I189" s="619">
        <v>0</v>
      </c>
      <c r="J189" s="619">
        <v>4.1406999999999998</v>
      </c>
      <c r="K189" s="619">
        <v>2.7465999999999999</v>
      </c>
    </row>
    <row r="190" spans="1:11" ht="9" customHeight="1" x14ac:dyDescent="0.25">
      <c r="A190" s="617" t="s">
        <v>825</v>
      </c>
      <c r="B190" s="618" t="s">
        <v>826</v>
      </c>
      <c r="C190" s="619">
        <v>60181.173000000003</v>
      </c>
      <c r="D190" s="619">
        <v>4.8144999999999998</v>
      </c>
      <c r="E190" s="619">
        <v>1.1140000000000001</v>
      </c>
      <c r="F190" s="619">
        <v>0</v>
      </c>
      <c r="G190" s="619">
        <v>3.0091000000000001</v>
      </c>
      <c r="H190" s="619">
        <v>0</v>
      </c>
      <c r="I190" s="619">
        <v>0</v>
      </c>
      <c r="J190" s="619">
        <v>8.9375999999999998</v>
      </c>
      <c r="K190" s="619">
        <v>5.9284999999999997</v>
      </c>
    </row>
    <row r="191" spans="1:11" ht="9" customHeight="1" x14ac:dyDescent="0.25">
      <c r="A191" s="617" t="s">
        <v>827</v>
      </c>
      <c r="B191" s="618" t="s">
        <v>828</v>
      </c>
      <c r="C191" s="619">
        <v>3338573.1</v>
      </c>
      <c r="D191" s="619">
        <v>222.57149999999999</v>
      </c>
      <c r="E191" s="619">
        <v>60.080399999999997</v>
      </c>
      <c r="F191" s="619">
        <v>0</v>
      </c>
      <c r="G191" s="619">
        <v>222.57149999999999</v>
      </c>
      <c r="H191" s="619">
        <v>133.87880000000001</v>
      </c>
      <c r="I191" s="619">
        <v>26.8781</v>
      </c>
      <c r="J191" s="619">
        <v>665.98030000000006</v>
      </c>
      <c r="K191" s="619">
        <v>309.52999999999997</v>
      </c>
    </row>
    <row r="192" spans="1:11" ht="9" customHeight="1" x14ac:dyDescent="0.25">
      <c r="A192" s="617" t="s">
        <v>829</v>
      </c>
      <c r="B192" s="618" t="s">
        <v>830</v>
      </c>
      <c r="C192" s="619">
        <v>4162010.156</v>
      </c>
      <c r="D192" s="619">
        <v>161.85599999999999</v>
      </c>
      <c r="E192" s="619">
        <v>71.3322</v>
      </c>
      <c r="F192" s="619">
        <v>0</v>
      </c>
      <c r="G192" s="619">
        <v>231.22280000000001</v>
      </c>
      <c r="H192" s="619">
        <v>220.6566</v>
      </c>
      <c r="I192" s="619">
        <v>26.8781</v>
      </c>
      <c r="J192" s="619">
        <v>711.94569999999999</v>
      </c>
      <c r="K192" s="619">
        <v>260.06630000000001</v>
      </c>
    </row>
    <row r="193" spans="1:11" ht="9" customHeight="1" x14ac:dyDescent="0.25">
      <c r="A193" s="617" t="s">
        <v>831</v>
      </c>
      <c r="B193" s="618" t="s">
        <v>832</v>
      </c>
      <c r="C193" s="619">
        <v>4152817.0070000002</v>
      </c>
      <c r="D193" s="619">
        <v>145.3486</v>
      </c>
      <c r="E193" s="619">
        <v>70.462900000000005</v>
      </c>
      <c r="F193" s="619">
        <v>0</v>
      </c>
      <c r="G193" s="619">
        <v>207.64089999999999</v>
      </c>
      <c r="H193" s="619">
        <v>66.939400000000006</v>
      </c>
      <c r="I193" s="619">
        <v>36.223399999999998</v>
      </c>
      <c r="J193" s="619">
        <v>526.61519999999996</v>
      </c>
      <c r="K193" s="619">
        <v>252.03489999999999</v>
      </c>
    </row>
    <row r="194" spans="1:11" ht="9" customHeight="1" x14ac:dyDescent="0.25">
      <c r="A194" s="617" t="s">
        <v>833</v>
      </c>
      <c r="B194" s="618" t="s">
        <v>834</v>
      </c>
      <c r="C194" s="619">
        <v>17689.074700000001</v>
      </c>
      <c r="D194" s="619">
        <v>1.4151</v>
      </c>
      <c r="E194" s="619">
        <v>0.32740000000000002</v>
      </c>
      <c r="F194" s="619">
        <v>0</v>
      </c>
      <c r="G194" s="619">
        <v>1.4151</v>
      </c>
      <c r="H194" s="619">
        <v>14.4384</v>
      </c>
      <c r="I194" s="619">
        <v>0</v>
      </c>
      <c r="J194" s="619">
        <v>17.596</v>
      </c>
      <c r="K194" s="619">
        <v>1.7424999999999999</v>
      </c>
    </row>
    <row r="195" spans="1:11" ht="9" customHeight="1" x14ac:dyDescent="0.25">
      <c r="A195" s="617" t="s">
        <v>835</v>
      </c>
      <c r="B195" s="618" t="s">
        <v>836</v>
      </c>
      <c r="C195" s="619">
        <v>1268.0223000000001</v>
      </c>
      <c r="D195" s="619">
        <v>0.1014</v>
      </c>
      <c r="E195" s="619">
        <v>2.35E-2</v>
      </c>
      <c r="F195" s="619">
        <v>0</v>
      </c>
      <c r="G195" s="619">
        <v>6.3399999999999998E-2</v>
      </c>
      <c r="H195" s="619">
        <v>0</v>
      </c>
      <c r="I195" s="619">
        <v>0</v>
      </c>
      <c r="J195" s="619">
        <v>0.1883</v>
      </c>
      <c r="K195" s="619">
        <v>0.1249</v>
      </c>
    </row>
    <row r="196" spans="1:11" ht="9" customHeight="1" x14ac:dyDescent="0.25">
      <c r="A196" s="617" t="s">
        <v>837</v>
      </c>
      <c r="B196" s="618" t="s">
        <v>838</v>
      </c>
      <c r="C196" s="619">
        <v>5827581.0999999996</v>
      </c>
      <c r="D196" s="619">
        <v>70.821299999999994</v>
      </c>
      <c r="E196" s="619">
        <v>34.333199999999998</v>
      </c>
      <c r="F196" s="619">
        <v>0</v>
      </c>
      <c r="G196" s="619">
        <v>101.1733</v>
      </c>
      <c r="H196" s="619">
        <v>122.6208</v>
      </c>
      <c r="I196" s="619">
        <v>72.446799999999996</v>
      </c>
      <c r="J196" s="619">
        <v>401.3954</v>
      </c>
      <c r="K196" s="619">
        <v>177.60130000000001</v>
      </c>
    </row>
    <row r="197" spans="1:11" ht="9" customHeight="1" x14ac:dyDescent="0.25">
      <c r="A197" s="617" t="s">
        <v>839</v>
      </c>
      <c r="B197" s="618" t="s">
        <v>840</v>
      </c>
      <c r="C197" s="619">
        <v>7970.0297</v>
      </c>
      <c r="D197" s="619">
        <v>0.45540000000000003</v>
      </c>
      <c r="E197" s="619">
        <v>0.14050000000000001</v>
      </c>
      <c r="F197" s="619">
        <v>0</v>
      </c>
      <c r="G197" s="619">
        <v>0.34160000000000001</v>
      </c>
      <c r="H197" s="619">
        <v>0</v>
      </c>
      <c r="I197" s="619">
        <v>0</v>
      </c>
      <c r="J197" s="619">
        <v>0.9375</v>
      </c>
      <c r="K197" s="619">
        <v>0.59589999999999999</v>
      </c>
    </row>
    <row r="198" spans="1:11" ht="9" customHeight="1" x14ac:dyDescent="0.25">
      <c r="A198" s="617" t="s">
        <v>172</v>
      </c>
      <c r="B198" s="618" t="s">
        <v>841</v>
      </c>
      <c r="C198" s="619">
        <v>2540221.2182999998</v>
      </c>
      <c r="D198" s="619">
        <v>169.34809999999999</v>
      </c>
      <c r="E198" s="619">
        <v>45.7134</v>
      </c>
      <c r="F198" s="619">
        <v>0</v>
      </c>
      <c r="G198" s="619">
        <v>169.34809999999999</v>
      </c>
      <c r="H198" s="619">
        <v>132.35749999999999</v>
      </c>
      <c r="I198" s="619">
        <v>26.8781</v>
      </c>
      <c r="J198" s="619">
        <v>543.64520000000005</v>
      </c>
      <c r="K198" s="619">
        <v>241.93960000000001</v>
      </c>
    </row>
    <row r="199" spans="1:11" ht="9" customHeight="1" x14ac:dyDescent="0.25">
      <c r="A199" s="617" t="s">
        <v>842</v>
      </c>
      <c r="B199" s="618" t="s">
        <v>843</v>
      </c>
      <c r="C199" s="619">
        <v>1040126.0649999999</v>
      </c>
      <c r="D199" s="619">
        <v>72.808800000000005</v>
      </c>
      <c r="E199" s="619">
        <v>19.252700000000001</v>
      </c>
      <c r="F199" s="619">
        <v>0</v>
      </c>
      <c r="G199" s="619">
        <v>72.808800000000005</v>
      </c>
      <c r="H199" s="619">
        <v>81.483500000000006</v>
      </c>
      <c r="I199" s="619">
        <v>26.8781</v>
      </c>
      <c r="J199" s="619">
        <v>273.2319</v>
      </c>
      <c r="K199" s="619">
        <v>118.9396</v>
      </c>
    </row>
    <row r="200" spans="1:11" ht="9" customHeight="1" x14ac:dyDescent="0.25">
      <c r="A200" s="617" t="s">
        <v>844</v>
      </c>
      <c r="B200" s="618" t="s">
        <v>845</v>
      </c>
      <c r="C200" s="619">
        <v>169100.8909</v>
      </c>
      <c r="D200" s="619">
        <v>11.273400000000001</v>
      </c>
      <c r="E200" s="619">
        <v>3.0430999999999999</v>
      </c>
      <c r="F200" s="619">
        <v>0</v>
      </c>
      <c r="G200" s="619">
        <v>9.8642000000000003</v>
      </c>
      <c r="H200" s="619">
        <v>84.343599999999995</v>
      </c>
      <c r="I200" s="619">
        <v>20.121700000000001</v>
      </c>
      <c r="J200" s="619">
        <v>128.64599999999999</v>
      </c>
      <c r="K200" s="619">
        <v>34.438200000000002</v>
      </c>
    </row>
    <row r="201" spans="1:11" ht="9" customHeight="1" x14ac:dyDescent="0.25">
      <c r="A201" s="617" t="s">
        <v>846</v>
      </c>
      <c r="B201" s="618" t="s">
        <v>847</v>
      </c>
      <c r="C201" s="619">
        <v>15144.3333</v>
      </c>
      <c r="D201" s="619">
        <v>2.0192000000000001</v>
      </c>
      <c r="E201" s="619">
        <v>0.4672</v>
      </c>
      <c r="F201" s="619">
        <v>0</v>
      </c>
      <c r="G201" s="619">
        <v>1.5144</v>
      </c>
      <c r="H201" s="619">
        <v>0</v>
      </c>
      <c r="I201" s="619">
        <v>0</v>
      </c>
      <c r="J201" s="619">
        <v>4.0007999999999999</v>
      </c>
      <c r="K201" s="619">
        <v>2.4864000000000002</v>
      </c>
    </row>
    <row r="202" spans="1:11" ht="9" customHeight="1" x14ac:dyDescent="0.25">
      <c r="A202" s="617" t="s">
        <v>848</v>
      </c>
      <c r="B202" s="618" t="s">
        <v>849</v>
      </c>
      <c r="C202" s="619">
        <v>2754030.3229999999</v>
      </c>
      <c r="D202" s="619">
        <v>160.65180000000001</v>
      </c>
      <c r="E202" s="619">
        <v>49.561100000000003</v>
      </c>
      <c r="F202" s="619">
        <v>0</v>
      </c>
      <c r="G202" s="619">
        <v>229.5025</v>
      </c>
      <c r="H202" s="619">
        <v>314.37180000000001</v>
      </c>
      <c r="I202" s="619">
        <v>36.223399999999998</v>
      </c>
      <c r="J202" s="619">
        <v>790.31060000000002</v>
      </c>
      <c r="K202" s="619">
        <v>246.43629999999999</v>
      </c>
    </row>
    <row r="203" spans="1:11" ht="9" customHeight="1" x14ac:dyDescent="0.25">
      <c r="A203" s="617" t="s">
        <v>850</v>
      </c>
      <c r="B203" s="618" t="s">
        <v>851</v>
      </c>
      <c r="C203" s="619">
        <v>684301.72679999995</v>
      </c>
      <c r="D203" s="619">
        <v>68.430199999999999</v>
      </c>
      <c r="E203" s="619">
        <v>13.571199999999999</v>
      </c>
      <c r="F203" s="619">
        <v>0</v>
      </c>
      <c r="G203" s="619">
        <v>68.430199999999999</v>
      </c>
      <c r="H203" s="619">
        <v>130.65350000000001</v>
      </c>
      <c r="I203" s="619">
        <v>26.8781</v>
      </c>
      <c r="J203" s="619">
        <v>307.96319999999997</v>
      </c>
      <c r="K203" s="619">
        <v>108.87949999999999</v>
      </c>
    </row>
    <row r="204" spans="1:11" ht="9" customHeight="1" x14ac:dyDescent="0.25">
      <c r="A204" s="617" t="s">
        <v>852</v>
      </c>
      <c r="B204" s="618" t="s">
        <v>853</v>
      </c>
      <c r="C204" s="619">
        <v>75802.244099999996</v>
      </c>
      <c r="D204" s="619">
        <v>6.8221999999999996</v>
      </c>
      <c r="E204" s="619">
        <v>1.4031</v>
      </c>
      <c r="F204" s="619">
        <v>0</v>
      </c>
      <c r="G204" s="619">
        <v>4.5480999999999998</v>
      </c>
      <c r="H204" s="619">
        <v>0</v>
      </c>
      <c r="I204" s="619">
        <v>0</v>
      </c>
      <c r="J204" s="619">
        <v>12.773400000000001</v>
      </c>
      <c r="K204" s="619">
        <v>8.2253000000000007</v>
      </c>
    </row>
    <row r="205" spans="1:11" ht="9" customHeight="1" x14ac:dyDescent="0.25">
      <c r="A205" s="617" t="s">
        <v>439</v>
      </c>
      <c r="B205" s="618" t="s">
        <v>854</v>
      </c>
      <c r="C205" s="619">
        <v>684301.72679999995</v>
      </c>
      <c r="D205" s="619">
        <v>47.9011</v>
      </c>
      <c r="E205" s="619">
        <v>12.666399999999999</v>
      </c>
      <c r="F205" s="619">
        <v>0</v>
      </c>
      <c r="G205" s="619">
        <v>47.9011</v>
      </c>
      <c r="H205" s="619">
        <v>55.012</v>
      </c>
      <c r="I205" s="619">
        <v>26.8781</v>
      </c>
      <c r="J205" s="619">
        <v>190.3587</v>
      </c>
      <c r="K205" s="619">
        <v>87.445599999999999</v>
      </c>
    </row>
    <row r="206" spans="1:11" ht="9" customHeight="1" x14ac:dyDescent="0.25">
      <c r="A206" s="617" t="s">
        <v>855</v>
      </c>
      <c r="B206" s="618" t="s">
        <v>856</v>
      </c>
      <c r="C206" s="619">
        <v>1210.2353000000001</v>
      </c>
      <c r="D206" s="619">
        <v>0.90769999999999995</v>
      </c>
      <c r="E206" s="619">
        <v>0.1245</v>
      </c>
      <c r="F206" s="619">
        <v>0</v>
      </c>
      <c r="G206" s="619">
        <v>0.90769999999999995</v>
      </c>
      <c r="H206" s="619">
        <v>4.9565000000000001</v>
      </c>
      <c r="I206" s="619">
        <v>20.121700000000001</v>
      </c>
      <c r="J206" s="619">
        <v>27.0181</v>
      </c>
      <c r="K206" s="619">
        <v>21.1539</v>
      </c>
    </row>
    <row r="207" spans="1:11" ht="9" customHeight="1" x14ac:dyDescent="0.25">
      <c r="A207" s="617" t="s">
        <v>857</v>
      </c>
      <c r="B207" s="618" t="s">
        <v>858</v>
      </c>
      <c r="C207" s="619">
        <v>4892.3846000000003</v>
      </c>
      <c r="D207" s="619">
        <v>0.44030000000000002</v>
      </c>
      <c r="E207" s="619">
        <v>9.06E-2</v>
      </c>
      <c r="F207" s="619">
        <v>0</v>
      </c>
      <c r="G207" s="619">
        <v>0.34250000000000003</v>
      </c>
      <c r="H207" s="619">
        <v>8.8353999999999999</v>
      </c>
      <c r="I207" s="619">
        <v>0</v>
      </c>
      <c r="J207" s="619">
        <v>9.7088000000000001</v>
      </c>
      <c r="K207" s="619">
        <v>0.53090000000000004</v>
      </c>
    </row>
    <row r="208" spans="1:11" ht="9" customHeight="1" x14ac:dyDescent="0.25">
      <c r="A208" s="617" t="s">
        <v>859</v>
      </c>
      <c r="B208" s="618" t="s">
        <v>860</v>
      </c>
      <c r="C208" s="619">
        <v>13480.5049</v>
      </c>
      <c r="D208" s="619">
        <v>1.0784</v>
      </c>
      <c r="E208" s="619">
        <v>0.2495</v>
      </c>
      <c r="F208" s="619">
        <v>0</v>
      </c>
      <c r="G208" s="619">
        <v>0.94359999999999999</v>
      </c>
      <c r="H208" s="619">
        <v>8.6198999999999995</v>
      </c>
      <c r="I208" s="619">
        <v>0</v>
      </c>
      <c r="J208" s="619">
        <v>10.891400000000001</v>
      </c>
      <c r="K208" s="619">
        <v>1.3279000000000001</v>
      </c>
    </row>
    <row r="209" spans="1:11" ht="9" customHeight="1" x14ac:dyDescent="0.25">
      <c r="A209" s="617" t="s">
        <v>861</v>
      </c>
      <c r="B209" s="618" t="s">
        <v>862</v>
      </c>
      <c r="C209" s="619">
        <v>4437077.7785</v>
      </c>
      <c r="D209" s="619">
        <v>221.85390000000001</v>
      </c>
      <c r="E209" s="619">
        <v>78.219300000000004</v>
      </c>
      <c r="F209" s="619">
        <v>0</v>
      </c>
      <c r="G209" s="619">
        <v>285.2407</v>
      </c>
      <c r="H209" s="619">
        <v>237.02629999999999</v>
      </c>
      <c r="I209" s="619">
        <v>36.223399999999998</v>
      </c>
      <c r="J209" s="619">
        <v>858.56359999999995</v>
      </c>
      <c r="K209" s="619">
        <v>336.29660000000001</v>
      </c>
    </row>
    <row r="210" spans="1:11" ht="9" customHeight="1" x14ac:dyDescent="0.25">
      <c r="A210" s="617" t="s">
        <v>863</v>
      </c>
      <c r="B210" s="618" t="s">
        <v>864</v>
      </c>
      <c r="C210" s="619">
        <v>1125274.7213999999</v>
      </c>
      <c r="D210" s="619">
        <v>56.2637</v>
      </c>
      <c r="E210" s="619">
        <v>19.837</v>
      </c>
      <c r="F210" s="619">
        <v>0</v>
      </c>
      <c r="G210" s="619">
        <v>56.2637</v>
      </c>
      <c r="H210" s="619">
        <v>40.893900000000002</v>
      </c>
      <c r="I210" s="619">
        <v>26.8781</v>
      </c>
      <c r="J210" s="619">
        <v>200.13640000000001</v>
      </c>
      <c r="K210" s="619">
        <v>102.97880000000001</v>
      </c>
    </row>
    <row r="211" spans="1:11" ht="9" customHeight="1" x14ac:dyDescent="0.25">
      <c r="A211" s="617" t="s">
        <v>865</v>
      </c>
      <c r="B211" s="618" t="s">
        <v>866</v>
      </c>
      <c r="C211" s="619">
        <v>412882.5601</v>
      </c>
      <c r="D211" s="619">
        <v>23.593299999999999</v>
      </c>
      <c r="E211" s="619">
        <v>7.2785000000000002</v>
      </c>
      <c r="F211" s="619">
        <v>0</v>
      </c>
      <c r="G211" s="619">
        <v>20.644100000000002</v>
      </c>
      <c r="H211" s="619">
        <v>0</v>
      </c>
      <c r="I211" s="619">
        <v>36.223399999999998</v>
      </c>
      <c r="J211" s="619">
        <v>87.7393</v>
      </c>
      <c r="K211" s="619">
        <v>67.095200000000006</v>
      </c>
    </row>
    <row r="212" spans="1:11" ht="9" customHeight="1" x14ac:dyDescent="0.25">
      <c r="A212" s="617" t="s">
        <v>867</v>
      </c>
      <c r="B212" s="618" t="s">
        <v>868</v>
      </c>
      <c r="C212" s="619">
        <v>16046.6729</v>
      </c>
      <c r="D212" s="619">
        <v>1.2837000000000001</v>
      </c>
      <c r="E212" s="619">
        <v>0.29699999999999999</v>
      </c>
      <c r="F212" s="619">
        <v>0</v>
      </c>
      <c r="G212" s="619">
        <v>1.1233</v>
      </c>
      <c r="H212" s="619">
        <v>21.549900000000001</v>
      </c>
      <c r="I212" s="619">
        <v>0</v>
      </c>
      <c r="J212" s="619">
        <v>24.253900000000002</v>
      </c>
      <c r="K212" s="619">
        <v>1.5807</v>
      </c>
    </row>
    <row r="213" spans="1:11" ht="9" customHeight="1" x14ac:dyDescent="0.25">
      <c r="A213" s="617" t="s">
        <v>869</v>
      </c>
      <c r="B213" s="618" t="s">
        <v>870</v>
      </c>
      <c r="C213" s="619">
        <v>96775163.200000003</v>
      </c>
      <c r="D213" s="619">
        <v>756.05600000000004</v>
      </c>
      <c r="E213" s="619">
        <v>544.23429999999996</v>
      </c>
      <c r="F213" s="619">
        <v>0</v>
      </c>
      <c r="G213" s="619">
        <v>1680.1243999999999</v>
      </c>
      <c r="H213" s="619">
        <v>730.24800000000005</v>
      </c>
      <c r="I213" s="619">
        <v>149.27029999999999</v>
      </c>
      <c r="J213" s="619">
        <v>3859.933</v>
      </c>
      <c r="K213" s="619">
        <v>1449.5606</v>
      </c>
    </row>
    <row r="214" spans="1:11" ht="9" customHeight="1" x14ac:dyDescent="0.25">
      <c r="A214" s="617" t="s">
        <v>871</v>
      </c>
      <c r="B214" s="618" t="s">
        <v>872</v>
      </c>
      <c r="C214" s="619">
        <v>114948902.40000001</v>
      </c>
      <c r="D214" s="619">
        <v>898.03830000000005</v>
      </c>
      <c r="E214" s="619">
        <v>646.43790000000001</v>
      </c>
      <c r="F214" s="619">
        <v>0</v>
      </c>
      <c r="G214" s="619">
        <v>1995.6406999999999</v>
      </c>
      <c r="H214" s="619">
        <v>876.29759999999999</v>
      </c>
      <c r="I214" s="619">
        <v>171.72550000000001</v>
      </c>
      <c r="J214" s="619">
        <v>4588.1400000000003</v>
      </c>
      <c r="K214" s="619">
        <v>1716.2017000000001</v>
      </c>
    </row>
    <row r="215" spans="1:11" ht="9" customHeight="1" x14ac:dyDescent="0.25">
      <c r="A215" s="617" t="s">
        <v>873</v>
      </c>
      <c r="B215" s="618" t="s">
        <v>874</v>
      </c>
      <c r="C215" s="619">
        <v>234895583.40000001</v>
      </c>
      <c r="D215" s="619">
        <v>1835.1216999999999</v>
      </c>
      <c r="E215" s="619">
        <v>1320.9818</v>
      </c>
      <c r="F215" s="619">
        <v>0</v>
      </c>
      <c r="G215" s="619">
        <v>4078.0482999999999</v>
      </c>
      <c r="H215" s="619">
        <v>1533.5208</v>
      </c>
      <c r="I215" s="619">
        <v>171.72550000000001</v>
      </c>
      <c r="J215" s="619">
        <v>8939.3981000000003</v>
      </c>
      <c r="K215" s="619">
        <v>3327.8290000000002</v>
      </c>
    </row>
    <row r="216" spans="1:11" ht="9" customHeight="1" x14ac:dyDescent="0.25">
      <c r="A216" s="617" t="s">
        <v>875</v>
      </c>
      <c r="B216" s="618" t="s">
        <v>876</v>
      </c>
      <c r="C216" s="619">
        <v>303047106.89999998</v>
      </c>
      <c r="D216" s="619">
        <v>2367.5554999999999</v>
      </c>
      <c r="E216" s="619">
        <v>1704.2454</v>
      </c>
      <c r="F216" s="619">
        <v>0</v>
      </c>
      <c r="G216" s="619">
        <v>5261.2344999999996</v>
      </c>
      <c r="H216" s="619">
        <v>2190.7440000000001</v>
      </c>
      <c r="I216" s="619">
        <v>298.58089999999999</v>
      </c>
      <c r="J216" s="619">
        <v>11822.3603</v>
      </c>
      <c r="K216" s="619">
        <v>4370.3818000000001</v>
      </c>
    </row>
    <row r="217" spans="1:11" ht="9" customHeight="1" x14ac:dyDescent="0.25">
      <c r="A217" s="617" t="s">
        <v>877</v>
      </c>
      <c r="B217" s="618" t="s">
        <v>878</v>
      </c>
      <c r="C217" s="619">
        <v>340757617.19999999</v>
      </c>
      <c r="D217" s="619">
        <v>2662.1689000000001</v>
      </c>
      <c r="E217" s="619">
        <v>1916.3179</v>
      </c>
      <c r="F217" s="619">
        <v>0</v>
      </c>
      <c r="G217" s="619">
        <v>5915.9309000000003</v>
      </c>
      <c r="H217" s="619">
        <v>2847.9672</v>
      </c>
      <c r="I217" s="619">
        <v>345.37959999999998</v>
      </c>
      <c r="J217" s="619">
        <v>13687.764499999999</v>
      </c>
      <c r="K217" s="619">
        <v>4923.8663999999999</v>
      </c>
    </row>
    <row r="218" spans="1:11" ht="9" customHeight="1" x14ac:dyDescent="0.25">
      <c r="A218" s="617" t="s">
        <v>879</v>
      </c>
      <c r="B218" s="618" t="s">
        <v>880</v>
      </c>
      <c r="C218" s="619">
        <v>406183080.5</v>
      </c>
      <c r="D218" s="619">
        <v>3173.3053</v>
      </c>
      <c r="E218" s="619">
        <v>2284.2509</v>
      </c>
      <c r="F218" s="619">
        <v>0</v>
      </c>
      <c r="G218" s="619">
        <v>7051.7896000000001</v>
      </c>
      <c r="H218" s="619">
        <v>3505.1904</v>
      </c>
      <c r="I218" s="619">
        <v>345.37959999999998</v>
      </c>
      <c r="J218" s="619">
        <v>16359.915800000001</v>
      </c>
      <c r="K218" s="619">
        <v>5802.9358000000002</v>
      </c>
    </row>
    <row r="219" spans="1:11" ht="9" customHeight="1" x14ac:dyDescent="0.25">
      <c r="A219" s="617" t="s">
        <v>881</v>
      </c>
      <c r="B219" s="618" t="s">
        <v>882</v>
      </c>
      <c r="C219" s="619">
        <v>233601.4068</v>
      </c>
      <c r="D219" s="619">
        <v>13.348699999999999</v>
      </c>
      <c r="E219" s="619">
        <v>4.1181000000000001</v>
      </c>
      <c r="F219" s="619">
        <v>0</v>
      </c>
      <c r="G219" s="619">
        <v>11.680099999999999</v>
      </c>
      <c r="H219" s="619">
        <v>0</v>
      </c>
      <c r="I219" s="619">
        <v>36.223399999999998</v>
      </c>
      <c r="J219" s="619">
        <v>65.3703</v>
      </c>
      <c r="K219" s="619">
        <v>53.690199999999997</v>
      </c>
    </row>
    <row r="220" spans="1:11" ht="9" customHeight="1" x14ac:dyDescent="0.25">
      <c r="A220" s="617" t="s">
        <v>883</v>
      </c>
      <c r="B220" s="618" t="s">
        <v>884</v>
      </c>
      <c r="C220" s="619">
        <v>481925.05040000001</v>
      </c>
      <c r="D220" s="619">
        <v>7.5301</v>
      </c>
      <c r="E220" s="619">
        <v>2.8393000000000002</v>
      </c>
      <c r="F220" s="619">
        <v>0</v>
      </c>
      <c r="G220" s="619">
        <v>8.3667999999999996</v>
      </c>
      <c r="H220" s="619">
        <v>320.16919999999999</v>
      </c>
      <c r="I220" s="619">
        <v>31.4925</v>
      </c>
      <c r="J220" s="619">
        <v>370.39789999999999</v>
      </c>
      <c r="K220" s="619">
        <v>41.861899999999999</v>
      </c>
    </row>
    <row r="221" spans="1:11" ht="9" customHeight="1" x14ac:dyDescent="0.25">
      <c r="A221" s="617" t="s">
        <v>885</v>
      </c>
      <c r="B221" s="618" t="s">
        <v>886</v>
      </c>
      <c r="C221" s="619">
        <v>2265509.4619999998</v>
      </c>
      <c r="D221" s="619">
        <v>29.498799999999999</v>
      </c>
      <c r="E221" s="619">
        <v>13.145</v>
      </c>
      <c r="F221" s="619">
        <v>0</v>
      </c>
      <c r="G221" s="619">
        <v>65.552899999999994</v>
      </c>
      <c r="H221" s="619">
        <v>190.7773</v>
      </c>
      <c r="I221" s="619">
        <v>122.28959999999999</v>
      </c>
      <c r="J221" s="619">
        <v>421.2636</v>
      </c>
      <c r="K221" s="619">
        <v>164.93340000000001</v>
      </c>
    </row>
    <row r="222" spans="1:11" ht="9" customHeight="1" x14ac:dyDescent="0.25">
      <c r="A222" s="617" t="s">
        <v>887</v>
      </c>
      <c r="B222" s="618" t="s">
        <v>888</v>
      </c>
      <c r="C222" s="619">
        <v>1160213.871</v>
      </c>
      <c r="D222" s="619">
        <v>15.106999999999999</v>
      </c>
      <c r="E222" s="619">
        <v>6.7317999999999998</v>
      </c>
      <c r="F222" s="619">
        <v>0</v>
      </c>
      <c r="G222" s="619">
        <v>33.570999999999998</v>
      </c>
      <c r="H222" s="619">
        <v>620.89340000000004</v>
      </c>
      <c r="I222" s="619">
        <v>122.28959999999999</v>
      </c>
      <c r="J222" s="619">
        <v>798.59280000000001</v>
      </c>
      <c r="K222" s="619">
        <v>144.1284</v>
      </c>
    </row>
    <row r="223" spans="1:11" ht="9" customHeight="1" x14ac:dyDescent="0.25">
      <c r="A223" s="617" t="s">
        <v>889</v>
      </c>
      <c r="B223" s="618" t="s">
        <v>890</v>
      </c>
      <c r="C223" s="619">
        <v>2416984.2267999998</v>
      </c>
      <c r="D223" s="619">
        <v>138.11340000000001</v>
      </c>
      <c r="E223" s="619">
        <v>42.607999999999997</v>
      </c>
      <c r="F223" s="619">
        <v>0</v>
      </c>
      <c r="G223" s="619">
        <v>103.58499999999999</v>
      </c>
      <c r="H223" s="619">
        <v>0</v>
      </c>
      <c r="I223" s="619">
        <v>36.223399999999998</v>
      </c>
      <c r="J223" s="619">
        <v>320.52980000000002</v>
      </c>
      <c r="K223" s="619">
        <v>216.94479999999999</v>
      </c>
    </row>
    <row r="224" spans="1:11" ht="9" customHeight="1" x14ac:dyDescent="0.25">
      <c r="A224" s="617" t="s">
        <v>891</v>
      </c>
      <c r="B224" s="618" t="s">
        <v>892</v>
      </c>
      <c r="C224" s="619">
        <v>570800.55850000004</v>
      </c>
      <c r="D224" s="619">
        <v>4.4593999999999996</v>
      </c>
      <c r="E224" s="619">
        <v>3.21</v>
      </c>
      <c r="F224" s="619">
        <v>0</v>
      </c>
      <c r="G224" s="619">
        <v>9.9097000000000008</v>
      </c>
      <c r="H224" s="619">
        <v>91.281000000000006</v>
      </c>
      <c r="I224" s="619">
        <v>39.838799999999999</v>
      </c>
      <c r="J224" s="619">
        <v>148.69890000000001</v>
      </c>
      <c r="K224" s="619">
        <v>47.508200000000002</v>
      </c>
    </row>
    <row r="225" spans="1:11" ht="9" customHeight="1" x14ac:dyDescent="0.25">
      <c r="A225" s="617" t="s">
        <v>893</v>
      </c>
      <c r="B225" s="618" t="s">
        <v>894</v>
      </c>
      <c r="C225" s="619">
        <v>96826.639899999995</v>
      </c>
      <c r="D225" s="619">
        <v>6.4550999999999998</v>
      </c>
      <c r="E225" s="619">
        <v>1.7424999999999999</v>
      </c>
      <c r="F225" s="619">
        <v>0</v>
      </c>
      <c r="G225" s="619">
        <v>6.4550999999999998</v>
      </c>
      <c r="H225" s="619">
        <v>19.1386</v>
      </c>
      <c r="I225" s="619">
        <v>0</v>
      </c>
      <c r="J225" s="619">
        <v>33.7913</v>
      </c>
      <c r="K225" s="619">
        <v>8.1975999999999996</v>
      </c>
    </row>
    <row r="226" spans="1:11" ht="9" customHeight="1" x14ac:dyDescent="0.25">
      <c r="A226" s="617" t="s">
        <v>895</v>
      </c>
      <c r="B226" s="618" t="s">
        <v>896</v>
      </c>
      <c r="C226" s="619">
        <v>7978719.5268000001</v>
      </c>
      <c r="D226" s="619">
        <v>455.92680000000001</v>
      </c>
      <c r="E226" s="619">
        <v>140.6534</v>
      </c>
      <c r="F226" s="619">
        <v>0</v>
      </c>
      <c r="G226" s="619">
        <v>341.94510000000002</v>
      </c>
      <c r="H226" s="619">
        <v>0</v>
      </c>
      <c r="I226" s="619">
        <v>36.223399999999998</v>
      </c>
      <c r="J226" s="619">
        <v>974.74869999999999</v>
      </c>
      <c r="K226" s="619">
        <v>632.80359999999996</v>
      </c>
    </row>
    <row r="227" spans="1:11" ht="9" customHeight="1" x14ac:dyDescent="0.25">
      <c r="A227" s="617" t="s">
        <v>897</v>
      </c>
      <c r="B227" s="618" t="s">
        <v>898</v>
      </c>
      <c r="C227" s="619">
        <v>713962.33070000005</v>
      </c>
      <c r="D227" s="619">
        <v>5.5777999999999999</v>
      </c>
      <c r="E227" s="619">
        <v>4.0151000000000003</v>
      </c>
      <c r="F227" s="619">
        <v>0</v>
      </c>
      <c r="G227" s="619">
        <v>9.2964000000000002</v>
      </c>
      <c r="H227" s="619">
        <v>0</v>
      </c>
      <c r="I227" s="619">
        <v>44.910400000000003</v>
      </c>
      <c r="J227" s="619">
        <v>63.799700000000001</v>
      </c>
      <c r="K227" s="619">
        <v>54.503300000000003</v>
      </c>
    </row>
    <row r="228" spans="1:11" ht="9" customHeight="1" x14ac:dyDescent="0.25">
      <c r="A228" s="617" t="s">
        <v>899</v>
      </c>
      <c r="B228" s="618" t="s">
        <v>900</v>
      </c>
      <c r="C228" s="619">
        <v>6609231.3320000004</v>
      </c>
      <c r="D228" s="619">
        <v>231.32310000000001</v>
      </c>
      <c r="E228" s="619">
        <v>112.1421</v>
      </c>
      <c r="F228" s="619">
        <v>0</v>
      </c>
      <c r="G228" s="619">
        <v>330.46159999999998</v>
      </c>
      <c r="H228" s="619">
        <v>56.594200000000001</v>
      </c>
      <c r="I228" s="619">
        <v>36.223399999999998</v>
      </c>
      <c r="J228" s="619">
        <v>766.74440000000004</v>
      </c>
      <c r="K228" s="619">
        <v>379.68860000000001</v>
      </c>
    </row>
    <row r="229" spans="1:11" ht="9" customHeight="1" x14ac:dyDescent="0.25">
      <c r="A229" s="617" t="s">
        <v>901</v>
      </c>
      <c r="B229" s="618" t="s">
        <v>902</v>
      </c>
      <c r="C229" s="619">
        <v>8492.8271999999997</v>
      </c>
      <c r="D229" s="619">
        <v>0.6794</v>
      </c>
      <c r="E229" s="619">
        <v>0.15720000000000001</v>
      </c>
      <c r="F229" s="619">
        <v>0</v>
      </c>
      <c r="G229" s="619">
        <v>0.59450000000000003</v>
      </c>
      <c r="H229" s="619">
        <v>0</v>
      </c>
      <c r="I229" s="619">
        <v>0</v>
      </c>
      <c r="J229" s="619">
        <v>1.4311</v>
      </c>
      <c r="K229" s="619">
        <v>0.83660000000000001</v>
      </c>
    </row>
    <row r="230" spans="1:11" ht="9" customHeight="1" x14ac:dyDescent="0.25">
      <c r="A230" s="617" t="s">
        <v>903</v>
      </c>
      <c r="B230" s="618" t="s">
        <v>904</v>
      </c>
      <c r="C230" s="619">
        <v>1363584.2272000001</v>
      </c>
      <c r="D230" s="619">
        <v>77.9191</v>
      </c>
      <c r="E230" s="619">
        <v>24.038</v>
      </c>
      <c r="F230" s="619">
        <v>0</v>
      </c>
      <c r="G230" s="619">
        <v>68.179199999999994</v>
      </c>
      <c r="H230" s="619">
        <v>0</v>
      </c>
      <c r="I230" s="619">
        <v>26.8781</v>
      </c>
      <c r="J230" s="619">
        <v>197.01439999999999</v>
      </c>
      <c r="K230" s="619">
        <v>128.83519999999999</v>
      </c>
    </row>
    <row r="231" spans="1:11" ht="9" customHeight="1" x14ac:dyDescent="0.25">
      <c r="A231" s="617" t="s">
        <v>905</v>
      </c>
      <c r="B231" s="618" t="s">
        <v>906</v>
      </c>
      <c r="C231" s="619">
        <v>187342.5289</v>
      </c>
      <c r="D231" s="619">
        <v>10.705299999999999</v>
      </c>
      <c r="E231" s="619">
        <v>3.3026</v>
      </c>
      <c r="F231" s="619">
        <v>0</v>
      </c>
      <c r="G231" s="619">
        <v>9.3671000000000006</v>
      </c>
      <c r="H231" s="619">
        <v>0</v>
      </c>
      <c r="I231" s="619">
        <v>26.8781</v>
      </c>
      <c r="J231" s="619">
        <v>50.253100000000003</v>
      </c>
      <c r="K231" s="619">
        <v>40.886000000000003</v>
      </c>
    </row>
    <row r="232" spans="1:11" ht="9" customHeight="1" x14ac:dyDescent="0.25">
      <c r="A232" s="617" t="s">
        <v>907</v>
      </c>
      <c r="B232" s="618" t="s">
        <v>908</v>
      </c>
      <c r="C232" s="619">
        <v>22173007.629999999</v>
      </c>
      <c r="D232" s="619">
        <v>173.22659999999999</v>
      </c>
      <c r="E232" s="619">
        <v>124.6943</v>
      </c>
      <c r="F232" s="619">
        <v>0</v>
      </c>
      <c r="G232" s="619">
        <v>384.94799999999998</v>
      </c>
      <c r="H232" s="619">
        <v>81.787800000000004</v>
      </c>
      <c r="I232" s="619">
        <v>97.946100000000001</v>
      </c>
      <c r="J232" s="619">
        <v>862.6028</v>
      </c>
      <c r="K232" s="619">
        <v>395.86700000000002</v>
      </c>
    </row>
    <row r="233" spans="1:11" ht="9" customHeight="1" x14ac:dyDescent="0.25">
      <c r="A233" s="617" t="s">
        <v>909</v>
      </c>
      <c r="B233" s="618" t="s">
        <v>910</v>
      </c>
      <c r="C233" s="619">
        <v>27201088.370000001</v>
      </c>
      <c r="D233" s="619">
        <v>212.5085</v>
      </c>
      <c r="E233" s="619">
        <v>152.97069999999999</v>
      </c>
      <c r="F233" s="619">
        <v>0</v>
      </c>
      <c r="G233" s="619">
        <v>472.24110000000002</v>
      </c>
      <c r="H233" s="619">
        <v>136.19130000000001</v>
      </c>
      <c r="I233" s="619">
        <v>97.946100000000001</v>
      </c>
      <c r="J233" s="619">
        <v>1071.8577</v>
      </c>
      <c r="K233" s="619">
        <v>463.42529999999999</v>
      </c>
    </row>
    <row r="234" spans="1:11" ht="9" customHeight="1" x14ac:dyDescent="0.25">
      <c r="A234" s="617" t="s">
        <v>911</v>
      </c>
      <c r="B234" s="618" t="s">
        <v>912</v>
      </c>
      <c r="C234" s="619">
        <v>3523749.8489999999</v>
      </c>
      <c r="D234" s="619">
        <v>27.529299999999999</v>
      </c>
      <c r="E234" s="619">
        <v>19.816500000000001</v>
      </c>
      <c r="F234" s="619">
        <v>0</v>
      </c>
      <c r="G234" s="619">
        <v>45.882199999999997</v>
      </c>
      <c r="H234" s="619">
        <v>0</v>
      </c>
      <c r="I234" s="619">
        <v>22.455200000000001</v>
      </c>
      <c r="J234" s="619">
        <v>115.6832</v>
      </c>
      <c r="K234" s="619">
        <v>69.801000000000002</v>
      </c>
    </row>
    <row r="235" spans="1:11" ht="9" customHeight="1" x14ac:dyDescent="0.25">
      <c r="A235" s="617" t="s">
        <v>913</v>
      </c>
      <c r="B235" s="618" t="s">
        <v>914</v>
      </c>
      <c r="C235" s="619">
        <v>43802.983399999997</v>
      </c>
      <c r="D235" s="619">
        <v>3.5042</v>
      </c>
      <c r="E235" s="619">
        <v>0.81079999999999997</v>
      </c>
      <c r="F235" s="619">
        <v>0</v>
      </c>
      <c r="G235" s="619">
        <v>3.5042</v>
      </c>
      <c r="H235" s="619">
        <v>7.1685999999999996</v>
      </c>
      <c r="I235" s="619">
        <v>20.121700000000001</v>
      </c>
      <c r="J235" s="619">
        <v>35.109499999999997</v>
      </c>
      <c r="K235" s="619">
        <v>24.436699999999998</v>
      </c>
    </row>
    <row r="236" spans="1:11" ht="9" customHeight="1" x14ac:dyDescent="0.25">
      <c r="A236" s="617" t="s">
        <v>915</v>
      </c>
      <c r="B236" s="618" t="s">
        <v>916</v>
      </c>
      <c r="C236" s="619">
        <v>50902.671399999999</v>
      </c>
      <c r="D236" s="619">
        <v>2.9087000000000001</v>
      </c>
      <c r="E236" s="619">
        <v>0.89729999999999999</v>
      </c>
      <c r="F236" s="619">
        <v>0</v>
      </c>
      <c r="G236" s="619">
        <v>2.1815000000000002</v>
      </c>
      <c r="H236" s="619">
        <v>0</v>
      </c>
      <c r="I236" s="619">
        <v>0</v>
      </c>
      <c r="J236" s="619">
        <v>5.9874999999999998</v>
      </c>
      <c r="K236" s="619">
        <v>3.806</v>
      </c>
    </row>
    <row r="237" spans="1:11" ht="9" customHeight="1" x14ac:dyDescent="0.25">
      <c r="A237" s="617" t="s">
        <v>917</v>
      </c>
      <c r="B237" s="618" t="s">
        <v>918</v>
      </c>
      <c r="C237" s="619">
        <v>125908.4659</v>
      </c>
      <c r="D237" s="619">
        <v>7.1947999999999999</v>
      </c>
      <c r="E237" s="619">
        <v>2.2195999999999998</v>
      </c>
      <c r="F237" s="619">
        <v>0</v>
      </c>
      <c r="G237" s="619">
        <v>5.3960999999999997</v>
      </c>
      <c r="H237" s="619">
        <v>0</v>
      </c>
      <c r="I237" s="619">
        <v>0</v>
      </c>
      <c r="J237" s="619">
        <v>14.810499999999999</v>
      </c>
      <c r="K237" s="619">
        <v>9.4144000000000005</v>
      </c>
    </row>
    <row r="238" spans="1:11" ht="9" customHeight="1" x14ac:dyDescent="0.25">
      <c r="A238" s="617" t="s">
        <v>919</v>
      </c>
      <c r="B238" s="618" t="s">
        <v>920</v>
      </c>
      <c r="C238" s="619">
        <v>637676042.20000005</v>
      </c>
      <c r="D238" s="619">
        <v>4981.8441000000003</v>
      </c>
      <c r="E238" s="619">
        <v>3586.0974000000001</v>
      </c>
      <c r="F238" s="619">
        <v>0</v>
      </c>
      <c r="G238" s="619">
        <v>11070.7646</v>
      </c>
      <c r="H238" s="619">
        <v>5988.0335999999998</v>
      </c>
      <c r="I238" s="619">
        <v>465.78089999999997</v>
      </c>
      <c r="J238" s="619">
        <v>26092.5206</v>
      </c>
      <c r="K238" s="619">
        <v>9033.7224000000006</v>
      </c>
    </row>
    <row r="239" spans="1:11" ht="9" customHeight="1" x14ac:dyDescent="0.25">
      <c r="A239" s="617" t="s">
        <v>921</v>
      </c>
      <c r="B239" s="618" t="s">
        <v>922</v>
      </c>
      <c r="C239" s="619">
        <v>924540658.29999995</v>
      </c>
      <c r="D239" s="619">
        <v>7222.9739</v>
      </c>
      <c r="E239" s="619">
        <v>5199.3374000000003</v>
      </c>
      <c r="F239" s="619">
        <v>0</v>
      </c>
      <c r="G239" s="619">
        <v>16051.053099999999</v>
      </c>
      <c r="H239" s="619">
        <v>8616.9264000000003</v>
      </c>
      <c r="I239" s="619">
        <v>488.46289999999999</v>
      </c>
      <c r="J239" s="619">
        <v>37578.753700000001</v>
      </c>
      <c r="K239" s="619">
        <v>12910.7742</v>
      </c>
    </row>
    <row r="240" spans="1:11" ht="9" customHeight="1" x14ac:dyDescent="0.25">
      <c r="A240" s="617" t="s">
        <v>923</v>
      </c>
      <c r="B240" s="618" t="s">
        <v>924</v>
      </c>
      <c r="C240" s="619">
        <v>1211405275</v>
      </c>
      <c r="D240" s="619">
        <v>9464.1036999999997</v>
      </c>
      <c r="E240" s="619">
        <v>6812.5772999999999</v>
      </c>
      <c r="F240" s="619">
        <v>0</v>
      </c>
      <c r="G240" s="619">
        <v>21031.3416</v>
      </c>
      <c r="H240" s="619">
        <v>11318.843999999999</v>
      </c>
      <c r="I240" s="619">
        <v>510.91809999999998</v>
      </c>
      <c r="J240" s="619">
        <v>49137.784699999997</v>
      </c>
      <c r="K240" s="619">
        <v>16787.599099999999</v>
      </c>
    </row>
    <row r="241" spans="1:11" ht="9" customHeight="1" x14ac:dyDescent="0.25">
      <c r="A241" s="617" t="s">
        <v>925</v>
      </c>
      <c r="B241" s="618" t="s">
        <v>926</v>
      </c>
      <c r="C241" s="619">
        <v>2431349.0887000002</v>
      </c>
      <c r="D241" s="619">
        <v>25.326599999999999</v>
      </c>
      <c r="E241" s="619">
        <v>11.2858</v>
      </c>
      <c r="F241" s="619">
        <v>0</v>
      </c>
      <c r="G241" s="619">
        <v>56.281199999999998</v>
      </c>
      <c r="H241" s="619">
        <v>230.089</v>
      </c>
      <c r="I241" s="619">
        <v>46.798699999999997</v>
      </c>
      <c r="J241" s="619">
        <v>369.78129999999999</v>
      </c>
      <c r="K241" s="619">
        <v>83.411100000000005</v>
      </c>
    </row>
    <row r="242" spans="1:11" ht="9" customHeight="1" x14ac:dyDescent="0.25">
      <c r="A242" s="617" t="s">
        <v>927</v>
      </c>
      <c r="B242" s="618" t="s">
        <v>928</v>
      </c>
      <c r="C242" s="619">
        <v>12523.894700000001</v>
      </c>
      <c r="D242" s="619">
        <v>1.6698999999999999</v>
      </c>
      <c r="E242" s="619">
        <v>0.38640000000000002</v>
      </c>
      <c r="F242" s="619">
        <v>0</v>
      </c>
      <c r="G242" s="619">
        <v>1.2524</v>
      </c>
      <c r="H242" s="619">
        <v>0</v>
      </c>
      <c r="I242" s="619">
        <v>0</v>
      </c>
      <c r="J242" s="619">
        <v>3.3087</v>
      </c>
      <c r="K242" s="619">
        <v>2.0562999999999998</v>
      </c>
    </row>
    <row r="243" spans="1:11" ht="9" customHeight="1" x14ac:dyDescent="0.25">
      <c r="A243" s="617" t="s">
        <v>929</v>
      </c>
      <c r="B243" s="618" t="s">
        <v>930</v>
      </c>
      <c r="C243" s="619">
        <v>253253.53909999999</v>
      </c>
      <c r="D243" s="619">
        <v>16.883600000000001</v>
      </c>
      <c r="E243" s="619">
        <v>4.5575000000000001</v>
      </c>
      <c r="F243" s="619">
        <v>0</v>
      </c>
      <c r="G243" s="619">
        <v>16.883600000000001</v>
      </c>
      <c r="H243" s="619">
        <v>84.313199999999995</v>
      </c>
      <c r="I243" s="619">
        <v>0</v>
      </c>
      <c r="J243" s="619">
        <v>122.6379</v>
      </c>
      <c r="K243" s="619">
        <v>21.441099999999999</v>
      </c>
    </row>
    <row r="244" spans="1:11" ht="9" customHeight="1" x14ac:dyDescent="0.25">
      <c r="A244" s="617" t="s">
        <v>931</v>
      </c>
      <c r="B244" s="618" t="s">
        <v>932</v>
      </c>
      <c r="C244" s="619">
        <v>4470.5673999999999</v>
      </c>
      <c r="D244" s="619">
        <v>0.35759999999999997</v>
      </c>
      <c r="E244" s="619">
        <v>8.2799999999999999E-2</v>
      </c>
      <c r="F244" s="619">
        <v>0</v>
      </c>
      <c r="G244" s="619">
        <v>0.31290000000000001</v>
      </c>
      <c r="H244" s="619">
        <v>0</v>
      </c>
      <c r="I244" s="619">
        <v>0</v>
      </c>
      <c r="J244" s="619">
        <v>0.75329999999999997</v>
      </c>
      <c r="K244" s="619">
        <v>0.44040000000000001</v>
      </c>
    </row>
    <row r="245" spans="1:11" ht="9" customHeight="1" x14ac:dyDescent="0.25">
      <c r="A245" s="617" t="s">
        <v>933</v>
      </c>
      <c r="B245" s="618" t="s">
        <v>934</v>
      </c>
      <c r="C245" s="619">
        <v>208996.36060000001</v>
      </c>
      <c r="D245" s="619">
        <v>16.7197</v>
      </c>
      <c r="E245" s="619">
        <v>3.8685</v>
      </c>
      <c r="F245" s="619">
        <v>0</v>
      </c>
      <c r="G245" s="619">
        <v>14.6297</v>
      </c>
      <c r="H245" s="619">
        <v>0</v>
      </c>
      <c r="I245" s="619">
        <v>36.223399999999998</v>
      </c>
      <c r="J245" s="619">
        <v>71.441299999999998</v>
      </c>
      <c r="K245" s="619">
        <v>56.811599999999999</v>
      </c>
    </row>
    <row r="246" spans="1:11" ht="9" customHeight="1" x14ac:dyDescent="0.25">
      <c r="A246" s="617" t="s">
        <v>935</v>
      </c>
      <c r="B246" s="618" t="s">
        <v>936</v>
      </c>
      <c r="C246" s="619">
        <v>40156.423699999999</v>
      </c>
      <c r="D246" s="619">
        <v>5.3541999999999996</v>
      </c>
      <c r="E246" s="619">
        <v>1.2387999999999999</v>
      </c>
      <c r="F246" s="619">
        <v>0</v>
      </c>
      <c r="G246" s="619">
        <v>4.0156000000000001</v>
      </c>
      <c r="H246" s="619">
        <v>0</v>
      </c>
      <c r="I246" s="619">
        <v>0</v>
      </c>
      <c r="J246" s="619">
        <v>10.608599999999999</v>
      </c>
      <c r="K246" s="619">
        <v>6.593</v>
      </c>
    </row>
    <row r="247" spans="1:11" ht="9" customHeight="1" x14ac:dyDescent="0.25">
      <c r="A247" s="617" t="s">
        <v>937</v>
      </c>
      <c r="B247" s="618" t="s">
        <v>938</v>
      </c>
      <c r="C247" s="619">
        <v>45753.163699999997</v>
      </c>
      <c r="D247" s="619">
        <v>6.1003999999999996</v>
      </c>
      <c r="E247" s="619">
        <v>1.4115</v>
      </c>
      <c r="F247" s="619">
        <v>0</v>
      </c>
      <c r="G247" s="619">
        <v>4.5753000000000004</v>
      </c>
      <c r="H247" s="619">
        <v>0</v>
      </c>
      <c r="I247" s="619">
        <v>0</v>
      </c>
      <c r="J247" s="619">
        <v>12.087199999999999</v>
      </c>
      <c r="K247" s="619">
        <v>7.5118999999999998</v>
      </c>
    </row>
    <row r="248" spans="1:11" ht="9" customHeight="1" x14ac:dyDescent="0.25">
      <c r="A248" s="617" t="s">
        <v>939</v>
      </c>
      <c r="B248" s="618" t="s">
        <v>940</v>
      </c>
      <c r="C248" s="619">
        <v>50116.2137</v>
      </c>
      <c r="D248" s="619">
        <v>6.6821999999999999</v>
      </c>
      <c r="E248" s="619">
        <v>1.5461</v>
      </c>
      <c r="F248" s="619">
        <v>0</v>
      </c>
      <c r="G248" s="619">
        <v>5.0115999999999996</v>
      </c>
      <c r="H248" s="619">
        <v>0</v>
      </c>
      <c r="I248" s="619">
        <v>0</v>
      </c>
      <c r="J248" s="619">
        <v>13.2399</v>
      </c>
      <c r="K248" s="619">
        <v>8.2283000000000008</v>
      </c>
    </row>
    <row r="249" spans="1:11" ht="9" customHeight="1" x14ac:dyDescent="0.25">
      <c r="A249" s="617" t="s">
        <v>941</v>
      </c>
      <c r="B249" s="618" t="s">
        <v>942</v>
      </c>
      <c r="C249" s="619">
        <v>9012560.4030000009</v>
      </c>
      <c r="D249" s="619">
        <v>70.410600000000002</v>
      </c>
      <c r="E249" s="619">
        <v>50.683900000000001</v>
      </c>
      <c r="F249" s="619">
        <v>0</v>
      </c>
      <c r="G249" s="619">
        <v>156.46809999999999</v>
      </c>
      <c r="H249" s="619">
        <v>268.36610000000002</v>
      </c>
      <c r="I249" s="619">
        <v>62.293999999999997</v>
      </c>
      <c r="J249" s="619">
        <v>608.22270000000003</v>
      </c>
      <c r="K249" s="619">
        <v>183.38849999999999</v>
      </c>
    </row>
    <row r="250" spans="1:11" ht="9" customHeight="1" x14ac:dyDescent="0.25">
      <c r="A250" s="617" t="s">
        <v>943</v>
      </c>
      <c r="B250" s="618" t="s">
        <v>944</v>
      </c>
      <c r="C250" s="619">
        <v>10404464.640000001</v>
      </c>
      <c r="D250" s="619">
        <v>81.284899999999993</v>
      </c>
      <c r="E250" s="619">
        <v>58.511600000000001</v>
      </c>
      <c r="F250" s="619">
        <v>0</v>
      </c>
      <c r="G250" s="619">
        <v>180.63310000000001</v>
      </c>
      <c r="H250" s="619">
        <v>440.88720000000001</v>
      </c>
      <c r="I250" s="619">
        <v>62.293999999999997</v>
      </c>
      <c r="J250" s="619">
        <v>823.61080000000004</v>
      </c>
      <c r="K250" s="619">
        <v>202.09049999999999</v>
      </c>
    </row>
    <row r="251" spans="1:11" ht="9" customHeight="1" x14ac:dyDescent="0.25">
      <c r="A251" s="617" t="s">
        <v>945</v>
      </c>
      <c r="B251" s="618" t="s">
        <v>946</v>
      </c>
      <c r="C251" s="619">
        <v>17600293.109999999</v>
      </c>
      <c r="D251" s="619">
        <v>137.50229999999999</v>
      </c>
      <c r="E251" s="619">
        <v>98.978700000000003</v>
      </c>
      <c r="F251" s="619">
        <v>0</v>
      </c>
      <c r="G251" s="619">
        <v>305.56060000000002</v>
      </c>
      <c r="H251" s="619">
        <v>680.95630000000006</v>
      </c>
      <c r="I251" s="619">
        <v>84.749200000000002</v>
      </c>
      <c r="J251" s="619">
        <v>1307.7471</v>
      </c>
      <c r="K251" s="619">
        <v>321.23020000000002</v>
      </c>
    </row>
    <row r="252" spans="1:11" ht="9" customHeight="1" x14ac:dyDescent="0.25">
      <c r="A252" s="617" t="s">
        <v>947</v>
      </c>
      <c r="B252" s="618" t="s">
        <v>948</v>
      </c>
      <c r="C252" s="619">
        <v>26760830.460000001</v>
      </c>
      <c r="D252" s="619">
        <v>209.06899999999999</v>
      </c>
      <c r="E252" s="619">
        <v>150.4948</v>
      </c>
      <c r="F252" s="619">
        <v>0</v>
      </c>
      <c r="G252" s="619">
        <v>464.59780000000001</v>
      </c>
      <c r="H252" s="619">
        <v>1232.2935</v>
      </c>
      <c r="I252" s="619">
        <v>84.749200000000002</v>
      </c>
      <c r="J252" s="619">
        <v>2141.2042999999999</v>
      </c>
      <c r="K252" s="619">
        <v>444.31299999999999</v>
      </c>
    </row>
    <row r="253" spans="1:11" ht="9" customHeight="1" x14ac:dyDescent="0.25">
      <c r="A253" s="617" t="s">
        <v>949</v>
      </c>
      <c r="B253" s="618" t="s">
        <v>950</v>
      </c>
      <c r="C253" s="619">
        <v>3887708.6738999998</v>
      </c>
      <c r="D253" s="619">
        <v>40.497</v>
      </c>
      <c r="E253" s="619">
        <v>18.0459</v>
      </c>
      <c r="F253" s="619">
        <v>0</v>
      </c>
      <c r="G253" s="619">
        <v>89.993300000000005</v>
      </c>
      <c r="H253" s="619">
        <v>258.99459999999999</v>
      </c>
      <c r="I253" s="619">
        <v>122.28959999999999</v>
      </c>
      <c r="J253" s="619">
        <v>529.82039999999995</v>
      </c>
      <c r="K253" s="619">
        <v>180.83250000000001</v>
      </c>
    </row>
    <row r="254" spans="1:11" ht="9" customHeight="1" x14ac:dyDescent="0.25">
      <c r="A254" s="617" t="s">
        <v>951</v>
      </c>
      <c r="B254" s="618" t="s">
        <v>952</v>
      </c>
      <c r="C254" s="619">
        <v>84588.744000000006</v>
      </c>
      <c r="D254" s="619">
        <v>5.6391999999999998</v>
      </c>
      <c r="E254" s="619">
        <v>1.5222</v>
      </c>
      <c r="F254" s="619">
        <v>0</v>
      </c>
      <c r="G254" s="619">
        <v>5.6391999999999998</v>
      </c>
      <c r="H254" s="619">
        <v>14.4833</v>
      </c>
      <c r="I254" s="619">
        <v>0</v>
      </c>
      <c r="J254" s="619">
        <v>27.283899999999999</v>
      </c>
      <c r="K254" s="619">
        <v>7.1614000000000004</v>
      </c>
    </row>
    <row r="255" spans="1:11" ht="9" customHeight="1" x14ac:dyDescent="0.25">
      <c r="A255" s="617" t="s">
        <v>953</v>
      </c>
      <c r="B255" s="618" t="s">
        <v>954</v>
      </c>
      <c r="C255" s="619">
        <v>125854.42419999999</v>
      </c>
      <c r="D255" s="619">
        <v>8.3902999999999999</v>
      </c>
      <c r="E255" s="619">
        <v>2.2648999999999999</v>
      </c>
      <c r="F255" s="619">
        <v>0</v>
      </c>
      <c r="G255" s="619">
        <v>8.3902999999999999</v>
      </c>
      <c r="H255" s="619">
        <v>34.139099999999999</v>
      </c>
      <c r="I255" s="619">
        <v>0</v>
      </c>
      <c r="J255" s="619">
        <v>53.184600000000003</v>
      </c>
      <c r="K255" s="619">
        <v>10.655200000000001</v>
      </c>
    </row>
    <row r="256" spans="1:11" ht="9" customHeight="1" x14ac:dyDescent="0.25">
      <c r="A256" s="617" t="s">
        <v>168</v>
      </c>
      <c r="B256" s="618" t="s">
        <v>955</v>
      </c>
      <c r="C256" s="619">
        <v>1273173.2009000001</v>
      </c>
      <c r="D256" s="619">
        <v>84.878200000000007</v>
      </c>
      <c r="E256" s="619">
        <v>22.911799999999999</v>
      </c>
      <c r="F256" s="619">
        <v>0</v>
      </c>
      <c r="G256" s="619">
        <v>84.878200000000007</v>
      </c>
      <c r="H256" s="619">
        <v>34.078200000000002</v>
      </c>
      <c r="I256" s="619">
        <v>26.8781</v>
      </c>
      <c r="J256" s="619">
        <v>253.62450000000001</v>
      </c>
      <c r="K256" s="619">
        <v>134.66810000000001</v>
      </c>
    </row>
    <row r="257" spans="1:11" ht="9" customHeight="1" x14ac:dyDescent="0.25">
      <c r="A257" s="617" t="s">
        <v>956</v>
      </c>
      <c r="B257" s="618" t="s">
        <v>957</v>
      </c>
      <c r="C257" s="619">
        <v>2840.279</v>
      </c>
      <c r="D257" s="619">
        <v>0.25559999999999999</v>
      </c>
      <c r="E257" s="619">
        <v>5.2600000000000001E-2</v>
      </c>
      <c r="F257" s="619">
        <v>0</v>
      </c>
      <c r="G257" s="619">
        <v>0.14199999999999999</v>
      </c>
      <c r="H257" s="619">
        <v>0</v>
      </c>
      <c r="I257" s="619">
        <v>0</v>
      </c>
      <c r="J257" s="619">
        <v>0.45019999999999999</v>
      </c>
      <c r="K257" s="619">
        <v>0.30819999999999997</v>
      </c>
    </row>
    <row r="258" spans="1:11" ht="9" customHeight="1" x14ac:dyDescent="0.25">
      <c r="A258" s="617" t="s">
        <v>958</v>
      </c>
      <c r="B258" s="618" t="s">
        <v>959</v>
      </c>
      <c r="C258" s="619">
        <v>99007.023199999996</v>
      </c>
      <c r="D258" s="619">
        <v>6.6005000000000003</v>
      </c>
      <c r="E258" s="619">
        <v>1.7817000000000001</v>
      </c>
      <c r="F258" s="619">
        <v>0</v>
      </c>
      <c r="G258" s="619">
        <v>6.6005000000000003</v>
      </c>
      <c r="H258" s="619">
        <v>27.931999999999999</v>
      </c>
      <c r="I258" s="619">
        <v>0</v>
      </c>
      <c r="J258" s="619">
        <v>42.914700000000003</v>
      </c>
      <c r="K258" s="619">
        <v>8.3821999999999992</v>
      </c>
    </row>
    <row r="259" spans="1:11" ht="9" customHeight="1" x14ac:dyDescent="0.25">
      <c r="A259" s="617" t="s">
        <v>960</v>
      </c>
      <c r="B259" s="618" t="s">
        <v>961</v>
      </c>
      <c r="C259" s="619">
        <v>12304.851199999999</v>
      </c>
      <c r="D259" s="619">
        <v>0.82030000000000003</v>
      </c>
      <c r="E259" s="619">
        <v>0.22140000000000001</v>
      </c>
      <c r="F259" s="619">
        <v>0</v>
      </c>
      <c r="G259" s="619">
        <v>0.82030000000000003</v>
      </c>
      <c r="H259" s="619">
        <v>8.8353999999999999</v>
      </c>
      <c r="I259" s="619">
        <v>0</v>
      </c>
      <c r="J259" s="619">
        <v>10.6974</v>
      </c>
      <c r="K259" s="619">
        <v>1.0417000000000001</v>
      </c>
    </row>
    <row r="260" spans="1:11" ht="9" customHeight="1" x14ac:dyDescent="0.25">
      <c r="A260" s="617" t="s">
        <v>177</v>
      </c>
      <c r="B260" s="618" t="s">
        <v>962</v>
      </c>
      <c r="C260" s="619">
        <v>598380.01269999996</v>
      </c>
      <c r="D260" s="619">
        <v>39.892000000000003</v>
      </c>
      <c r="E260" s="619">
        <v>10.7683</v>
      </c>
      <c r="F260" s="619">
        <v>0</v>
      </c>
      <c r="G260" s="619">
        <v>39.892000000000003</v>
      </c>
      <c r="H260" s="619">
        <v>220.35230000000001</v>
      </c>
      <c r="I260" s="619">
        <v>0</v>
      </c>
      <c r="J260" s="619">
        <v>310.90460000000002</v>
      </c>
      <c r="K260" s="619">
        <v>50.660299999999999</v>
      </c>
    </row>
    <row r="261" spans="1:11" ht="9" customHeight="1" x14ac:dyDescent="0.25">
      <c r="A261" s="617" t="s">
        <v>963</v>
      </c>
      <c r="B261" s="618" t="s">
        <v>964</v>
      </c>
      <c r="C261" s="619">
        <v>172137.34839999999</v>
      </c>
      <c r="D261" s="619">
        <v>11.4758</v>
      </c>
      <c r="E261" s="619">
        <v>3.0977999999999999</v>
      </c>
      <c r="F261" s="619">
        <v>0</v>
      </c>
      <c r="G261" s="619">
        <v>11.4758</v>
      </c>
      <c r="H261" s="619">
        <v>37.242600000000003</v>
      </c>
      <c r="I261" s="619">
        <v>0</v>
      </c>
      <c r="J261" s="619">
        <v>63.292000000000002</v>
      </c>
      <c r="K261" s="619">
        <v>14.573600000000001</v>
      </c>
    </row>
    <row r="262" spans="1:11" ht="9" customHeight="1" x14ac:dyDescent="0.25">
      <c r="A262" s="617" t="s">
        <v>965</v>
      </c>
      <c r="B262" s="618" t="s">
        <v>966</v>
      </c>
      <c r="C262" s="619">
        <v>4003698.2149999999</v>
      </c>
      <c r="D262" s="619">
        <v>140.1294</v>
      </c>
      <c r="E262" s="619">
        <v>67.932699999999997</v>
      </c>
      <c r="F262" s="619">
        <v>0</v>
      </c>
      <c r="G262" s="619">
        <v>200.1849</v>
      </c>
      <c r="H262" s="619">
        <v>56.594200000000001</v>
      </c>
      <c r="I262" s="619">
        <v>36.223399999999998</v>
      </c>
      <c r="J262" s="619">
        <v>501.06459999999998</v>
      </c>
      <c r="K262" s="619">
        <v>244.28550000000001</v>
      </c>
    </row>
    <row r="263" spans="1:11" ht="9" customHeight="1" x14ac:dyDescent="0.25">
      <c r="A263" s="617" t="s">
        <v>967</v>
      </c>
      <c r="B263" s="618" t="s">
        <v>968</v>
      </c>
      <c r="C263" s="619">
        <v>794631.72679999995</v>
      </c>
      <c r="D263" s="619">
        <v>52.9754</v>
      </c>
      <c r="E263" s="619">
        <v>14.3001</v>
      </c>
      <c r="F263" s="619">
        <v>0</v>
      </c>
      <c r="G263" s="619">
        <v>52.9754</v>
      </c>
      <c r="H263" s="619">
        <v>342.52890000000002</v>
      </c>
      <c r="I263" s="619">
        <v>0</v>
      </c>
      <c r="J263" s="619">
        <v>462.77980000000002</v>
      </c>
      <c r="K263" s="619">
        <v>67.275499999999994</v>
      </c>
    </row>
    <row r="264" spans="1:11" ht="9" customHeight="1" x14ac:dyDescent="0.25">
      <c r="A264" s="617" t="s">
        <v>969</v>
      </c>
      <c r="B264" s="618" t="s">
        <v>970</v>
      </c>
      <c r="C264" s="619">
        <v>4923404.99</v>
      </c>
      <c r="D264" s="619">
        <v>172.3192</v>
      </c>
      <c r="E264" s="619">
        <v>83.537899999999993</v>
      </c>
      <c r="F264" s="619">
        <v>0</v>
      </c>
      <c r="G264" s="619">
        <v>246.17019999999999</v>
      </c>
      <c r="H264" s="619">
        <v>56.594200000000001</v>
      </c>
      <c r="I264" s="619">
        <v>36.223399999999998</v>
      </c>
      <c r="J264" s="619">
        <v>594.84490000000005</v>
      </c>
      <c r="K264" s="619">
        <v>292.08049999999997</v>
      </c>
    </row>
    <row r="265" spans="1:11" ht="9" customHeight="1" x14ac:dyDescent="0.25">
      <c r="A265" s="617" t="s">
        <v>971</v>
      </c>
      <c r="B265" s="618" t="s">
        <v>972</v>
      </c>
      <c r="C265" s="619">
        <v>4923404.99</v>
      </c>
      <c r="D265" s="619">
        <v>172.3192</v>
      </c>
      <c r="E265" s="619">
        <v>83.537899999999993</v>
      </c>
      <c r="F265" s="619">
        <v>0</v>
      </c>
      <c r="G265" s="619">
        <v>246.17019999999999</v>
      </c>
      <c r="H265" s="619">
        <v>56.594200000000001</v>
      </c>
      <c r="I265" s="619">
        <v>36.223399999999998</v>
      </c>
      <c r="J265" s="619">
        <v>594.84490000000005</v>
      </c>
      <c r="K265" s="619">
        <v>292.08049999999997</v>
      </c>
    </row>
    <row r="266" spans="1:11" ht="9" customHeight="1" x14ac:dyDescent="0.25">
      <c r="A266" s="617" t="s">
        <v>973</v>
      </c>
      <c r="B266" s="618" t="s">
        <v>974</v>
      </c>
      <c r="C266" s="619">
        <v>4905603.5729999999</v>
      </c>
      <c r="D266" s="619">
        <v>171.6961</v>
      </c>
      <c r="E266" s="619">
        <v>83.235799999999998</v>
      </c>
      <c r="F266" s="619">
        <v>0</v>
      </c>
      <c r="G266" s="619">
        <v>245.28020000000001</v>
      </c>
      <c r="H266" s="619">
        <v>56.594200000000001</v>
      </c>
      <c r="I266" s="619">
        <v>36.223399999999998</v>
      </c>
      <c r="J266" s="619">
        <v>593.02970000000005</v>
      </c>
      <c r="K266" s="619">
        <v>291.15530000000001</v>
      </c>
    </row>
    <row r="267" spans="1:11" ht="9" customHeight="1" x14ac:dyDescent="0.25">
      <c r="A267" s="617" t="s">
        <v>975</v>
      </c>
      <c r="B267" s="618" t="s">
        <v>976</v>
      </c>
      <c r="C267" s="619">
        <v>4905603.5729999999</v>
      </c>
      <c r="D267" s="619">
        <v>171.6961</v>
      </c>
      <c r="E267" s="619">
        <v>83.235799999999998</v>
      </c>
      <c r="F267" s="619">
        <v>0</v>
      </c>
      <c r="G267" s="619">
        <v>245.28020000000001</v>
      </c>
      <c r="H267" s="619">
        <v>56.594200000000001</v>
      </c>
      <c r="I267" s="619">
        <v>36.223399999999998</v>
      </c>
      <c r="J267" s="619">
        <v>593.02970000000005</v>
      </c>
      <c r="K267" s="619">
        <v>291.15530000000001</v>
      </c>
    </row>
    <row r="268" spans="1:11" ht="9" customHeight="1" x14ac:dyDescent="0.25">
      <c r="A268" s="617" t="s">
        <v>977</v>
      </c>
      <c r="B268" s="618" t="s">
        <v>978</v>
      </c>
      <c r="C268" s="619">
        <v>58039.617700000003</v>
      </c>
      <c r="D268" s="619">
        <v>3.5878999999999999</v>
      </c>
      <c r="E268" s="619">
        <v>1.5626</v>
      </c>
      <c r="F268" s="619">
        <v>0</v>
      </c>
      <c r="G268" s="619">
        <v>2.1105</v>
      </c>
      <c r="H268" s="619">
        <v>0</v>
      </c>
      <c r="I268" s="619">
        <v>20.121700000000001</v>
      </c>
      <c r="J268" s="619">
        <v>27.3827</v>
      </c>
      <c r="K268" s="619">
        <v>25.272200000000002</v>
      </c>
    </row>
    <row r="269" spans="1:11" ht="9" customHeight="1" x14ac:dyDescent="0.25">
      <c r="A269" s="617" t="s">
        <v>979</v>
      </c>
      <c r="B269" s="618" t="s">
        <v>980</v>
      </c>
      <c r="C269" s="619">
        <v>2966235.9539999999</v>
      </c>
      <c r="D269" s="619">
        <v>103.81829999999999</v>
      </c>
      <c r="E269" s="619">
        <v>50.329599999999999</v>
      </c>
      <c r="F269" s="619">
        <v>0</v>
      </c>
      <c r="G269" s="619">
        <v>148.31180000000001</v>
      </c>
      <c r="H269" s="619">
        <v>56.594200000000001</v>
      </c>
      <c r="I269" s="619">
        <v>36.223399999999998</v>
      </c>
      <c r="J269" s="619">
        <v>395.27730000000003</v>
      </c>
      <c r="K269" s="619">
        <v>190.37129999999999</v>
      </c>
    </row>
    <row r="270" spans="1:11" ht="9" customHeight="1" x14ac:dyDescent="0.25">
      <c r="A270" s="617" t="s">
        <v>981</v>
      </c>
      <c r="B270" s="618" t="s">
        <v>982</v>
      </c>
      <c r="C270" s="619">
        <v>132527.35339999999</v>
      </c>
      <c r="D270" s="619">
        <v>8.8352000000000004</v>
      </c>
      <c r="E270" s="619">
        <v>2.3849</v>
      </c>
      <c r="F270" s="619">
        <v>0</v>
      </c>
      <c r="G270" s="619">
        <v>8.8352000000000004</v>
      </c>
      <c r="H270" s="619">
        <v>37.242600000000003</v>
      </c>
      <c r="I270" s="619">
        <v>0</v>
      </c>
      <c r="J270" s="619">
        <v>57.297899999999998</v>
      </c>
      <c r="K270" s="619">
        <v>11.2201</v>
      </c>
    </row>
    <row r="271" spans="1:11" ht="9" customHeight="1" x14ac:dyDescent="0.25">
      <c r="A271" s="617" t="s">
        <v>983</v>
      </c>
      <c r="B271" s="618" t="s">
        <v>984</v>
      </c>
      <c r="C271" s="619">
        <v>5915.4438</v>
      </c>
      <c r="D271" s="619">
        <v>0.47320000000000001</v>
      </c>
      <c r="E271" s="619">
        <v>0.1095</v>
      </c>
      <c r="F271" s="619">
        <v>0</v>
      </c>
      <c r="G271" s="619">
        <v>0.47320000000000001</v>
      </c>
      <c r="H271" s="619">
        <v>0</v>
      </c>
      <c r="I271" s="619">
        <v>0</v>
      </c>
      <c r="J271" s="619">
        <v>1.0559000000000001</v>
      </c>
      <c r="K271" s="619">
        <v>0.5827</v>
      </c>
    </row>
    <row r="272" spans="1:11" ht="9" customHeight="1" x14ac:dyDescent="0.25">
      <c r="A272" s="617" t="s">
        <v>985</v>
      </c>
      <c r="B272" s="618" t="s">
        <v>986</v>
      </c>
      <c r="C272" s="619">
        <v>5589970.5250000004</v>
      </c>
      <c r="D272" s="619">
        <v>195.649</v>
      </c>
      <c r="E272" s="619">
        <v>94.847800000000007</v>
      </c>
      <c r="F272" s="619">
        <v>0</v>
      </c>
      <c r="G272" s="619">
        <v>279.49849999999998</v>
      </c>
      <c r="H272" s="619">
        <v>64.505200000000002</v>
      </c>
      <c r="I272" s="619">
        <v>36.223399999999998</v>
      </c>
      <c r="J272" s="619">
        <v>670.72389999999996</v>
      </c>
      <c r="K272" s="619">
        <v>326.72019999999998</v>
      </c>
    </row>
    <row r="273" spans="1:11" ht="9" customHeight="1" x14ac:dyDescent="0.25">
      <c r="A273" s="617" t="s">
        <v>987</v>
      </c>
      <c r="B273" s="618" t="s">
        <v>988</v>
      </c>
      <c r="C273" s="619">
        <v>12169.8233</v>
      </c>
      <c r="D273" s="619">
        <v>1.6226</v>
      </c>
      <c r="E273" s="619">
        <v>0.37540000000000001</v>
      </c>
      <c r="F273" s="619">
        <v>0</v>
      </c>
      <c r="G273" s="619">
        <v>1.2170000000000001</v>
      </c>
      <c r="H273" s="619">
        <v>0</v>
      </c>
      <c r="I273" s="619">
        <v>0</v>
      </c>
      <c r="J273" s="619">
        <v>3.2149999999999999</v>
      </c>
      <c r="K273" s="619">
        <v>1.998</v>
      </c>
    </row>
    <row r="274" spans="1:11" ht="9" customHeight="1" x14ac:dyDescent="0.25">
      <c r="A274" s="617" t="s">
        <v>989</v>
      </c>
      <c r="B274" s="618" t="s">
        <v>990</v>
      </c>
      <c r="C274" s="619">
        <v>455617.7268</v>
      </c>
      <c r="D274" s="619">
        <v>30.374500000000001</v>
      </c>
      <c r="E274" s="619">
        <v>8.1991999999999994</v>
      </c>
      <c r="F274" s="619">
        <v>0</v>
      </c>
      <c r="G274" s="619">
        <v>30.374500000000001</v>
      </c>
      <c r="H274" s="619">
        <v>163.5883</v>
      </c>
      <c r="I274" s="619">
        <v>0</v>
      </c>
      <c r="J274" s="619">
        <v>232.53649999999999</v>
      </c>
      <c r="K274" s="619">
        <v>38.573700000000002</v>
      </c>
    </row>
    <row r="275" spans="1:11" ht="9" customHeight="1" x14ac:dyDescent="0.25">
      <c r="A275" s="617" t="s">
        <v>991</v>
      </c>
      <c r="B275" s="618" t="s">
        <v>992</v>
      </c>
      <c r="C275" s="619">
        <v>1906190.2191000001</v>
      </c>
      <c r="D275" s="619">
        <v>61.270400000000002</v>
      </c>
      <c r="E275" s="619">
        <v>16.8017</v>
      </c>
      <c r="F275" s="619">
        <v>0</v>
      </c>
      <c r="G275" s="619">
        <v>68.078199999999995</v>
      </c>
      <c r="H275" s="619">
        <v>0</v>
      </c>
      <c r="I275" s="619">
        <v>49.601599999999998</v>
      </c>
      <c r="J275" s="619">
        <v>195.75190000000001</v>
      </c>
      <c r="K275" s="619">
        <v>127.6737</v>
      </c>
    </row>
    <row r="276" spans="1:11" ht="9" customHeight="1" x14ac:dyDescent="0.25">
      <c r="A276" s="617" t="s">
        <v>993</v>
      </c>
      <c r="B276" s="618" t="s">
        <v>994</v>
      </c>
      <c r="C276" s="619">
        <v>391660.21909999999</v>
      </c>
      <c r="D276" s="619">
        <v>12.5891</v>
      </c>
      <c r="E276" s="619">
        <v>3.4521999999999999</v>
      </c>
      <c r="F276" s="619">
        <v>0</v>
      </c>
      <c r="G276" s="619">
        <v>13.9879</v>
      </c>
      <c r="H276" s="619">
        <v>0</v>
      </c>
      <c r="I276" s="619">
        <v>49.601599999999998</v>
      </c>
      <c r="J276" s="619">
        <v>79.630799999999994</v>
      </c>
      <c r="K276" s="619">
        <v>65.642899999999997</v>
      </c>
    </row>
    <row r="277" spans="1:11" ht="9" customHeight="1" x14ac:dyDescent="0.25">
      <c r="A277" s="617" t="s">
        <v>995</v>
      </c>
      <c r="B277" s="618" t="s">
        <v>996</v>
      </c>
      <c r="C277" s="619">
        <v>4487.2551000000003</v>
      </c>
      <c r="D277" s="619">
        <v>0.35899999999999999</v>
      </c>
      <c r="E277" s="619">
        <v>8.3099999999999993E-2</v>
      </c>
      <c r="F277" s="619">
        <v>0</v>
      </c>
      <c r="G277" s="619">
        <v>0.35899999999999999</v>
      </c>
      <c r="H277" s="619">
        <v>0</v>
      </c>
      <c r="I277" s="619">
        <v>0</v>
      </c>
      <c r="J277" s="619">
        <v>0.80110000000000003</v>
      </c>
      <c r="K277" s="619">
        <v>0.44209999999999999</v>
      </c>
    </row>
    <row r="278" spans="1:11" ht="9" customHeight="1" x14ac:dyDescent="0.25">
      <c r="A278" s="617" t="s">
        <v>997</v>
      </c>
      <c r="B278" s="618" t="s">
        <v>998</v>
      </c>
      <c r="C278" s="619">
        <v>452959.77679999999</v>
      </c>
      <c r="D278" s="619">
        <v>7.0774999999999997</v>
      </c>
      <c r="E278" s="619">
        <v>2.6686000000000001</v>
      </c>
      <c r="F278" s="619">
        <v>0</v>
      </c>
      <c r="G278" s="619">
        <v>7.8639000000000001</v>
      </c>
      <c r="H278" s="619">
        <v>221.65559999999999</v>
      </c>
      <c r="I278" s="619">
        <v>31.4925</v>
      </c>
      <c r="J278" s="619">
        <v>270.75810000000001</v>
      </c>
      <c r="K278" s="619">
        <v>41.238599999999998</v>
      </c>
    </row>
    <row r="279" spans="1:11" ht="9" customHeight="1" x14ac:dyDescent="0.25">
      <c r="A279" s="617" t="s">
        <v>999</v>
      </c>
      <c r="B279" s="618" t="s">
        <v>1000</v>
      </c>
      <c r="C279" s="619">
        <v>8383.6046000000006</v>
      </c>
      <c r="D279" s="619">
        <v>0.67069999999999996</v>
      </c>
      <c r="E279" s="619">
        <v>0.1552</v>
      </c>
      <c r="F279" s="619">
        <v>0</v>
      </c>
      <c r="G279" s="619">
        <v>0.67069999999999996</v>
      </c>
      <c r="H279" s="619">
        <v>0</v>
      </c>
      <c r="I279" s="619">
        <v>20.121700000000001</v>
      </c>
      <c r="J279" s="619">
        <v>21.618300000000001</v>
      </c>
      <c r="K279" s="619">
        <v>20.947600000000001</v>
      </c>
    </row>
    <row r="280" spans="1:11" ht="9" customHeight="1" x14ac:dyDescent="0.25">
      <c r="A280" s="617" t="s">
        <v>435</v>
      </c>
      <c r="B280" s="618" t="s">
        <v>1001</v>
      </c>
      <c r="C280" s="619">
        <v>5712549.3890000004</v>
      </c>
      <c r="D280" s="619">
        <v>333.23200000000003</v>
      </c>
      <c r="E280" s="619">
        <v>102.8021</v>
      </c>
      <c r="F280" s="619">
        <v>0</v>
      </c>
      <c r="G280" s="619">
        <v>476.04579999999999</v>
      </c>
      <c r="H280" s="619">
        <v>449.10250000000002</v>
      </c>
      <c r="I280" s="619">
        <v>36.223399999999998</v>
      </c>
      <c r="J280" s="619">
        <v>1397.4058</v>
      </c>
      <c r="K280" s="619">
        <v>472.25749999999999</v>
      </c>
    </row>
    <row r="281" spans="1:11" ht="9" customHeight="1" x14ac:dyDescent="0.25">
      <c r="A281" s="617" t="s">
        <v>437</v>
      </c>
      <c r="B281" s="618" t="s">
        <v>1002</v>
      </c>
      <c r="C281" s="619">
        <v>673693.5612</v>
      </c>
      <c r="D281" s="619">
        <v>44.9129</v>
      </c>
      <c r="E281" s="619">
        <v>12.123699999999999</v>
      </c>
      <c r="F281" s="619">
        <v>0</v>
      </c>
      <c r="G281" s="619">
        <v>44.9129</v>
      </c>
      <c r="H281" s="619">
        <v>134.73079999999999</v>
      </c>
      <c r="I281" s="619">
        <v>26.8781</v>
      </c>
      <c r="J281" s="619">
        <v>263.55840000000001</v>
      </c>
      <c r="K281" s="619">
        <v>83.914699999999996</v>
      </c>
    </row>
    <row r="282" spans="1:11" ht="9" customHeight="1" x14ac:dyDescent="0.25">
      <c r="A282" s="617" t="s">
        <v>1003</v>
      </c>
      <c r="B282" s="618" t="s">
        <v>1004</v>
      </c>
      <c r="C282" s="619">
        <v>274501.91560000001</v>
      </c>
      <c r="D282" s="619">
        <v>18.3001</v>
      </c>
      <c r="E282" s="619">
        <v>4.9398999999999997</v>
      </c>
      <c r="F282" s="619">
        <v>0</v>
      </c>
      <c r="G282" s="619">
        <v>18.3001</v>
      </c>
      <c r="H282" s="619">
        <v>29.574999999999999</v>
      </c>
      <c r="I282" s="619">
        <v>26.8781</v>
      </c>
      <c r="J282" s="619">
        <v>97.993200000000002</v>
      </c>
      <c r="K282" s="619">
        <v>50.118099999999998</v>
      </c>
    </row>
    <row r="283" spans="1:11" ht="9" customHeight="1" x14ac:dyDescent="0.25">
      <c r="A283" s="617" t="s">
        <v>1005</v>
      </c>
      <c r="B283" s="618" t="s">
        <v>1006</v>
      </c>
      <c r="C283" s="619">
        <v>4470.6575999999995</v>
      </c>
      <c r="D283" s="619">
        <v>0.35770000000000002</v>
      </c>
      <c r="E283" s="619">
        <v>8.2799999999999999E-2</v>
      </c>
      <c r="F283" s="619">
        <v>0</v>
      </c>
      <c r="G283" s="619">
        <v>0.35770000000000002</v>
      </c>
      <c r="H283" s="619">
        <v>0</v>
      </c>
      <c r="I283" s="619">
        <v>0</v>
      </c>
      <c r="J283" s="619">
        <v>0.79820000000000002</v>
      </c>
      <c r="K283" s="619">
        <v>0.4405</v>
      </c>
    </row>
    <row r="284" spans="1:11" ht="9" customHeight="1" x14ac:dyDescent="0.25">
      <c r="A284" s="617" t="s">
        <v>1007</v>
      </c>
      <c r="B284" s="618" t="s">
        <v>1008</v>
      </c>
      <c r="C284" s="619">
        <v>294697.52960000001</v>
      </c>
      <c r="D284" s="619">
        <v>17.681899999999999</v>
      </c>
      <c r="E284" s="619">
        <v>5.4549000000000003</v>
      </c>
      <c r="F284" s="619">
        <v>2.2101999999999999</v>
      </c>
      <c r="G284" s="619">
        <v>17.681899999999999</v>
      </c>
      <c r="H284" s="619">
        <v>44.727699999999999</v>
      </c>
      <c r="I284" s="619">
        <v>24.4191</v>
      </c>
      <c r="J284" s="619">
        <v>112.17570000000001</v>
      </c>
      <c r="K284" s="619">
        <v>49.766100000000002</v>
      </c>
    </row>
    <row r="285" spans="1:11" ht="9" customHeight="1" x14ac:dyDescent="0.25">
      <c r="A285" s="617" t="s">
        <v>1009</v>
      </c>
      <c r="B285" s="618" t="s">
        <v>1010</v>
      </c>
      <c r="C285" s="619">
        <v>494334.88160000002</v>
      </c>
      <c r="D285" s="619">
        <v>32.9557</v>
      </c>
      <c r="E285" s="619">
        <v>8.8960000000000008</v>
      </c>
      <c r="F285" s="619">
        <v>0</v>
      </c>
      <c r="G285" s="619">
        <v>32.9557</v>
      </c>
      <c r="H285" s="619">
        <v>79.840400000000002</v>
      </c>
      <c r="I285" s="619">
        <v>26.8781</v>
      </c>
      <c r="J285" s="619">
        <v>181.52590000000001</v>
      </c>
      <c r="K285" s="619">
        <v>68.729799999999997</v>
      </c>
    </row>
    <row r="286" spans="1:11" ht="9" customHeight="1" x14ac:dyDescent="0.25">
      <c r="A286" s="617" t="s">
        <v>1011</v>
      </c>
      <c r="B286" s="618" t="s">
        <v>1012</v>
      </c>
      <c r="C286" s="619">
        <v>8144722.7560000001</v>
      </c>
      <c r="D286" s="619">
        <v>407.23610000000002</v>
      </c>
      <c r="E286" s="619">
        <v>143.57980000000001</v>
      </c>
      <c r="F286" s="619">
        <v>0</v>
      </c>
      <c r="G286" s="619">
        <v>523.58929999999998</v>
      </c>
      <c r="H286" s="619">
        <v>0</v>
      </c>
      <c r="I286" s="619">
        <v>36.223399999999998</v>
      </c>
      <c r="J286" s="619">
        <v>1110.6286</v>
      </c>
      <c r="K286" s="619">
        <v>587.03930000000003</v>
      </c>
    </row>
    <row r="287" spans="1:11" ht="9" customHeight="1" x14ac:dyDescent="0.25">
      <c r="A287" s="617" t="s">
        <v>1013</v>
      </c>
      <c r="B287" s="618" t="s">
        <v>1014</v>
      </c>
      <c r="C287" s="619">
        <v>271024.0785</v>
      </c>
      <c r="D287" s="619">
        <v>21.681899999999999</v>
      </c>
      <c r="E287" s="619">
        <v>5.0167000000000002</v>
      </c>
      <c r="F287" s="619">
        <v>0</v>
      </c>
      <c r="G287" s="619">
        <v>13.5512</v>
      </c>
      <c r="H287" s="619">
        <v>0</v>
      </c>
      <c r="I287" s="619">
        <v>20.121700000000001</v>
      </c>
      <c r="J287" s="619">
        <v>60.371499999999997</v>
      </c>
      <c r="K287" s="619">
        <v>46.820300000000003</v>
      </c>
    </row>
    <row r="288" spans="1:11" ht="9" customHeight="1" x14ac:dyDescent="0.25">
      <c r="A288" s="617" t="s">
        <v>1015</v>
      </c>
      <c r="B288" s="618" t="s">
        <v>1016</v>
      </c>
      <c r="C288" s="619">
        <v>75372.273000000001</v>
      </c>
      <c r="D288" s="619">
        <v>4.8453999999999997</v>
      </c>
      <c r="E288" s="619">
        <v>1.3287</v>
      </c>
      <c r="F288" s="619">
        <v>0</v>
      </c>
      <c r="G288" s="619">
        <v>1.6151</v>
      </c>
      <c r="H288" s="619">
        <v>0</v>
      </c>
      <c r="I288" s="619">
        <v>20.121700000000001</v>
      </c>
      <c r="J288" s="619">
        <v>27.910900000000002</v>
      </c>
      <c r="K288" s="619">
        <v>26.2958</v>
      </c>
    </row>
    <row r="289" spans="1:11" ht="9" customHeight="1" x14ac:dyDescent="0.25">
      <c r="A289" s="617" t="s">
        <v>1017</v>
      </c>
      <c r="B289" s="618" t="s">
        <v>1018</v>
      </c>
      <c r="C289" s="619">
        <v>24134.973099999999</v>
      </c>
      <c r="D289" s="619">
        <v>1.9308000000000001</v>
      </c>
      <c r="E289" s="619">
        <v>0.44669999999999999</v>
      </c>
      <c r="F289" s="619">
        <v>0</v>
      </c>
      <c r="G289" s="619">
        <v>1.6894</v>
      </c>
      <c r="H289" s="619">
        <v>0</v>
      </c>
      <c r="I289" s="619">
        <v>20.121700000000001</v>
      </c>
      <c r="J289" s="619">
        <v>24.188600000000001</v>
      </c>
      <c r="K289" s="619">
        <v>22.499199999999998</v>
      </c>
    </row>
    <row r="290" spans="1:11" ht="9" customHeight="1" x14ac:dyDescent="0.25">
      <c r="A290" s="617" t="s">
        <v>443</v>
      </c>
      <c r="B290" s="618" t="s">
        <v>1019</v>
      </c>
      <c r="C290" s="619">
        <v>296382.75089999998</v>
      </c>
      <c r="D290" s="619">
        <v>20.7468</v>
      </c>
      <c r="E290" s="619">
        <v>5.4859999999999998</v>
      </c>
      <c r="F290" s="619">
        <v>0</v>
      </c>
      <c r="G290" s="619">
        <v>20.7468</v>
      </c>
      <c r="H290" s="619">
        <v>69.221400000000003</v>
      </c>
      <c r="I290" s="619">
        <v>26.8781</v>
      </c>
      <c r="J290" s="619">
        <v>143.07910000000001</v>
      </c>
      <c r="K290" s="619">
        <v>53.110900000000001</v>
      </c>
    </row>
    <row r="291" spans="1:11" ht="9" customHeight="1" x14ac:dyDescent="0.25">
      <c r="A291" s="617" t="s">
        <v>1020</v>
      </c>
      <c r="B291" s="618" t="s">
        <v>1021</v>
      </c>
      <c r="C291" s="619">
        <v>308377.37880000001</v>
      </c>
      <c r="D291" s="619">
        <v>34.692500000000003</v>
      </c>
      <c r="E291" s="619">
        <v>10.7026</v>
      </c>
      <c r="F291" s="619">
        <v>0</v>
      </c>
      <c r="G291" s="619">
        <v>38.547199999999997</v>
      </c>
      <c r="H291" s="619">
        <v>88.487799999999993</v>
      </c>
      <c r="I291" s="619">
        <v>20.121700000000001</v>
      </c>
      <c r="J291" s="619">
        <v>192.55179999999999</v>
      </c>
      <c r="K291" s="619">
        <v>65.516800000000003</v>
      </c>
    </row>
    <row r="292" spans="1:11" ht="9" customHeight="1" x14ac:dyDescent="0.25">
      <c r="A292" s="617" t="s">
        <v>444</v>
      </c>
      <c r="B292" s="618" t="s">
        <v>1022</v>
      </c>
      <c r="C292" s="619">
        <v>2072703.1640000001</v>
      </c>
      <c r="D292" s="619">
        <v>120.90770000000001</v>
      </c>
      <c r="E292" s="619">
        <v>37.299999999999997</v>
      </c>
      <c r="F292" s="619">
        <v>0</v>
      </c>
      <c r="G292" s="619">
        <v>172.7253</v>
      </c>
      <c r="H292" s="619">
        <v>169.78270000000001</v>
      </c>
      <c r="I292" s="619">
        <v>36.223399999999998</v>
      </c>
      <c r="J292" s="619">
        <v>536.93910000000005</v>
      </c>
      <c r="K292" s="619">
        <v>194.43109999999999</v>
      </c>
    </row>
    <row r="293" spans="1:11" ht="9" customHeight="1" x14ac:dyDescent="0.25">
      <c r="A293" s="617" t="s">
        <v>1023</v>
      </c>
      <c r="B293" s="618" t="s">
        <v>1024</v>
      </c>
      <c r="C293" s="619">
        <v>22657.9575</v>
      </c>
      <c r="D293" s="619">
        <v>2.0392000000000001</v>
      </c>
      <c r="E293" s="619">
        <v>0.4194</v>
      </c>
      <c r="F293" s="619">
        <v>0</v>
      </c>
      <c r="G293" s="619">
        <v>2.0392000000000001</v>
      </c>
      <c r="H293" s="619">
        <v>0</v>
      </c>
      <c r="I293" s="619">
        <v>20.121700000000001</v>
      </c>
      <c r="J293" s="619">
        <v>24.619499999999999</v>
      </c>
      <c r="K293" s="619">
        <v>22.580300000000001</v>
      </c>
    </row>
    <row r="294" spans="1:11" ht="9" customHeight="1" x14ac:dyDescent="0.25">
      <c r="A294" s="617" t="s">
        <v>1025</v>
      </c>
      <c r="B294" s="618" t="s">
        <v>1026</v>
      </c>
      <c r="C294" s="619">
        <v>12523.894700000001</v>
      </c>
      <c r="D294" s="619">
        <v>1.6698999999999999</v>
      </c>
      <c r="E294" s="619">
        <v>0.38640000000000002</v>
      </c>
      <c r="F294" s="619">
        <v>0</v>
      </c>
      <c r="G294" s="619">
        <v>1.2524</v>
      </c>
      <c r="H294" s="619">
        <v>0</v>
      </c>
      <c r="I294" s="619">
        <v>0</v>
      </c>
      <c r="J294" s="619">
        <v>3.3087</v>
      </c>
      <c r="K294" s="619">
        <v>2.0562999999999998</v>
      </c>
    </row>
    <row r="295" spans="1:11" ht="9" customHeight="1" x14ac:dyDescent="0.25">
      <c r="A295" s="617" t="s">
        <v>1027</v>
      </c>
      <c r="B295" s="618" t="s">
        <v>1028</v>
      </c>
      <c r="C295" s="619">
        <v>238717.13260000001</v>
      </c>
      <c r="D295" s="619">
        <v>1.865</v>
      </c>
      <c r="E295" s="619">
        <v>1.3425</v>
      </c>
      <c r="F295" s="619">
        <v>0</v>
      </c>
      <c r="G295" s="619">
        <v>3.1082999999999998</v>
      </c>
      <c r="H295" s="619">
        <v>0</v>
      </c>
      <c r="I295" s="619">
        <v>22.455200000000001</v>
      </c>
      <c r="J295" s="619">
        <v>28.771000000000001</v>
      </c>
      <c r="K295" s="619">
        <v>25.662700000000001</v>
      </c>
    </row>
    <row r="296" spans="1:11" ht="9" customHeight="1" x14ac:dyDescent="0.25">
      <c r="A296" s="617" t="s">
        <v>1029</v>
      </c>
      <c r="B296" s="618" t="s">
        <v>1030</v>
      </c>
      <c r="C296" s="619">
        <v>15229.3361</v>
      </c>
      <c r="D296" s="619">
        <v>1.2182999999999999</v>
      </c>
      <c r="E296" s="619">
        <v>0.28189999999999998</v>
      </c>
      <c r="F296" s="619">
        <v>0</v>
      </c>
      <c r="G296" s="619">
        <v>1.0661</v>
      </c>
      <c r="H296" s="619">
        <v>0</v>
      </c>
      <c r="I296" s="619">
        <v>20.121700000000001</v>
      </c>
      <c r="J296" s="619">
        <v>22.687999999999999</v>
      </c>
      <c r="K296" s="619">
        <v>21.6219</v>
      </c>
    </row>
    <row r="297" spans="1:11" ht="9" customHeight="1" x14ac:dyDescent="0.25">
      <c r="A297" s="617" t="s">
        <v>1031</v>
      </c>
      <c r="B297" s="618" t="s">
        <v>1032</v>
      </c>
      <c r="C297" s="619">
        <v>14851.150299999999</v>
      </c>
      <c r="D297" s="619">
        <v>1.1880999999999999</v>
      </c>
      <c r="E297" s="619">
        <v>0.27489999999999998</v>
      </c>
      <c r="F297" s="619">
        <v>0</v>
      </c>
      <c r="G297" s="619">
        <v>1.1880999999999999</v>
      </c>
      <c r="H297" s="619">
        <v>0</v>
      </c>
      <c r="I297" s="619">
        <v>20.121700000000001</v>
      </c>
      <c r="J297" s="619">
        <v>22.7728</v>
      </c>
      <c r="K297" s="619">
        <v>21.584700000000002</v>
      </c>
    </row>
    <row r="298" spans="1:11" ht="9" customHeight="1" x14ac:dyDescent="0.25">
      <c r="A298" s="617" t="s">
        <v>1033</v>
      </c>
      <c r="B298" s="618" t="s">
        <v>1034</v>
      </c>
      <c r="C298" s="619">
        <v>9331.6478999999999</v>
      </c>
      <c r="D298" s="619">
        <v>0.74650000000000005</v>
      </c>
      <c r="E298" s="619">
        <v>0.17269999999999999</v>
      </c>
      <c r="F298" s="619">
        <v>0</v>
      </c>
      <c r="G298" s="619">
        <v>0.74650000000000005</v>
      </c>
      <c r="H298" s="619">
        <v>0</v>
      </c>
      <c r="I298" s="619">
        <v>20.121700000000001</v>
      </c>
      <c r="J298" s="619">
        <v>21.787400000000002</v>
      </c>
      <c r="K298" s="619">
        <v>21.040900000000001</v>
      </c>
    </row>
    <row r="299" spans="1:11" ht="9" customHeight="1" x14ac:dyDescent="0.25">
      <c r="A299" s="617" t="s">
        <v>1035</v>
      </c>
      <c r="B299" s="618" t="s">
        <v>1036</v>
      </c>
      <c r="C299" s="619">
        <v>47620.789400000001</v>
      </c>
      <c r="D299" s="619">
        <v>3.1747000000000001</v>
      </c>
      <c r="E299" s="619">
        <v>0.85699999999999998</v>
      </c>
      <c r="F299" s="619">
        <v>0</v>
      </c>
      <c r="G299" s="619">
        <v>2.7778999999999998</v>
      </c>
      <c r="H299" s="619">
        <v>9.1280999999999999</v>
      </c>
      <c r="I299" s="619">
        <v>20.121700000000001</v>
      </c>
      <c r="J299" s="619">
        <v>36.059399999999997</v>
      </c>
      <c r="K299" s="619">
        <v>24.153400000000001</v>
      </c>
    </row>
    <row r="300" spans="1:11" ht="9" customHeight="1" x14ac:dyDescent="0.25">
      <c r="A300" s="617" t="s">
        <v>1037</v>
      </c>
      <c r="B300" s="618" t="s">
        <v>1038</v>
      </c>
      <c r="C300" s="619">
        <v>33573536.450000003</v>
      </c>
      <c r="D300" s="619">
        <v>1342.9414999999999</v>
      </c>
      <c r="E300" s="619">
        <v>569.65899999999999</v>
      </c>
      <c r="F300" s="619">
        <v>0</v>
      </c>
      <c r="G300" s="619">
        <v>1342.9414999999999</v>
      </c>
      <c r="H300" s="619">
        <v>184.7527</v>
      </c>
      <c r="I300" s="619">
        <v>72.446799999999996</v>
      </c>
      <c r="J300" s="619">
        <v>3512.7415000000001</v>
      </c>
      <c r="K300" s="619">
        <v>1985.0473</v>
      </c>
    </row>
    <row r="301" spans="1:11" ht="9" customHeight="1" x14ac:dyDescent="0.25">
      <c r="A301" s="617" t="s">
        <v>1039</v>
      </c>
      <c r="B301" s="618" t="s">
        <v>1040</v>
      </c>
      <c r="C301" s="619">
        <v>16397367.238700001</v>
      </c>
      <c r="D301" s="619">
        <v>655.89469999999994</v>
      </c>
      <c r="E301" s="619">
        <v>278.22230000000002</v>
      </c>
      <c r="F301" s="619">
        <v>0</v>
      </c>
      <c r="G301" s="619">
        <v>655.89469999999994</v>
      </c>
      <c r="H301" s="619">
        <v>219.0744</v>
      </c>
      <c r="I301" s="619">
        <v>72.446799999999996</v>
      </c>
      <c r="J301" s="619">
        <v>1881.5328999999999</v>
      </c>
      <c r="K301" s="619">
        <v>1006.5638</v>
      </c>
    </row>
    <row r="302" spans="1:11" ht="9" customHeight="1" x14ac:dyDescent="0.25">
      <c r="A302" s="617" t="s">
        <v>1041</v>
      </c>
      <c r="B302" s="618" t="s">
        <v>1042</v>
      </c>
      <c r="C302" s="619">
        <v>3272919.0112000001</v>
      </c>
      <c r="D302" s="619">
        <v>187.0239</v>
      </c>
      <c r="E302" s="619">
        <v>57.696899999999999</v>
      </c>
      <c r="F302" s="619">
        <v>0</v>
      </c>
      <c r="G302" s="619">
        <v>140.268</v>
      </c>
      <c r="H302" s="619">
        <v>355.99590000000001</v>
      </c>
      <c r="I302" s="619">
        <v>26.8781</v>
      </c>
      <c r="J302" s="619">
        <v>767.86279999999999</v>
      </c>
      <c r="K302" s="619">
        <v>271.59890000000001</v>
      </c>
    </row>
    <row r="303" spans="1:11" ht="9" customHeight="1" x14ac:dyDescent="0.25">
      <c r="A303" s="617" t="s">
        <v>178</v>
      </c>
      <c r="B303" s="618" t="s">
        <v>1043</v>
      </c>
      <c r="C303" s="619">
        <v>16495.480500000001</v>
      </c>
      <c r="D303" s="619">
        <v>0.94259999999999999</v>
      </c>
      <c r="E303" s="619">
        <v>0.2908</v>
      </c>
      <c r="F303" s="619">
        <v>0</v>
      </c>
      <c r="G303" s="619">
        <v>0.94259999999999999</v>
      </c>
      <c r="H303" s="619">
        <v>0</v>
      </c>
      <c r="I303" s="619">
        <v>36.223399999999998</v>
      </c>
      <c r="J303" s="619">
        <v>38.3994</v>
      </c>
      <c r="K303" s="619">
        <v>37.456800000000001</v>
      </c>
    </row>
    <row r="304" spans="1:11" ht="9" customHeight="1" x14ac:dyDescent="0.25">
      <c r="A304" s="617" t="s">
        <v>1044</v>
      </c>
      <c r="B304" s="618" t="s">
        <v>1045</v>
      </c>
      <c r="C304" s="619">
        <v>948.20960000000002</v>
      </c>
      <c r="D304" s="619">
        <v>8.5300000000000001E-2</v>
      </c>
      <c r="E304" s="619">
        <v>1.7600000000000001E-2</v>
      </c>
      <c r="F304" s="619">
        <v>0</v>
      </c>
      <c r="G304" s="619">
        <v>4.7399999999999998E-2</v>
      </c>
      <c r="H304" s="619">
        <v>0</v>
      </c>
      <c r="I304" s="619">
        <v>0</v>
      </c>
      <c r="J304" s="619">
        <v>0.15029999999999999</v>
      </c>
      <c r="K304" s="619">
        <v>0.10290000000000001</v>
      </c>
    </row>
    <row r="305" spans="1:11" ht="9" customHeight="1" x14ac:dyDescent="0.25">
      <c r="A305" s="617" t="s">
        <v>1046</v>
      </c>
      <c r="B305" s="618" t="s">
        <v>1047</v>
      </c>
      <c r="C305" s="619">
        <v>9273417.5730000008</v>
      </c>
      <c r="D305" s="619">
        <v>370.93669999999997</v>
      </c>
      <c r="E305" s="619">
        <v>157.3467</v>
      </c>
      <c r="F305" s="619">
        <v>0</v>
      </c>
      <c r="G305" s="619">
        <v>278.20249999999999</v>
      </c>
      <c r="H305" s="619">
        <v>64.992099999999994</v>
      </c>
      <c r="I305" s="619">
        <v>72.446799999999996</v>
      </c>
      <c r="J305" s="619">
        <v>943.9248</v>
      </c>
      <c r="K305" s="619">
        <v>600.73019999999997</v>
      </c>
    </row>
    <row r="306" spans="1:11" ht="9" customHeight="1" x14ac:dyDescent="0.25">
      <c r="A306" s="617" t="s">
        <v>1048</v>
      </c>
      <c r="B306" s="618" t="s">
        <v>1049</v>
      </c>
      <c r="C306" s="619">
        <v>5297.6216999999997</v>
      </c>
      <c r="D306" s="619">
        <v>0.21190000000000001</v>
      </c>
      <c r="E306" s="619">
        <v>8.9899999999999994E-2</v>
      </c>
      <c r="F306" s="619">
        <v>0</v>
      </c>
      <c r="G306" s="619">
        <v>0.13239999999999999</v>
      </c>
      <c r="H306" s="619">
        <v>0</v>
      </c>
      <c r="I306" s="619">
        <v>0</v>
      </c>
      <c r="J306" s="619">
        <v>0.43419999999999997</v>
      </c>
      <c r="K306" s="619">
        <v>0.30180000000000001</v>
      </c>
    </row>
    <row r="307" spans="1:11" ht="9" customHeight="1" x14ac:dyDescent="0.25">
      <c r="A307" s="617" t="s">
        <v>1050</v>
      </c>
      <c r="B307" s="618" t="s">
        <v>1051</v>
      </c>
      <c r="C307" s="619">
        <v>13036.7572</v>
      </c>
      <c r="D307" s="619">
        <v>0.745</v>
      </c>
      <c r="E307" s="619">
        <v>0.2298</v>
      </c>
      <c r="F307" s="619">
        <v>0</v>
      </c>
      <c r="G307" s="619">
        <v>0.745</v>
      </c>
      <c r="H307" s="619">
        <v>0</v>
      </c>
      <c r="I307" s="619">
        <v>36.223399999999998</v>
      </c>
      <c r="J307" s="619">
        <v>37.943199999999997</v>
      </c>
      <c r="K307" s="619">
        <v>37.1982</v>
      </c>
    </row>
    <row r="308" spans="1:11" ht="9" customHeight="1" x14ac:dyDescent="0.25">
      <c r="A308" s="617" t="s">
        <v>1052</v>
      </c>
      <c r="B308" s="618" t="s">
        <v>1053</v>
      </c>
      <c r="C308" s="619">
        <v>27137.670399999999</v>
      </c>
      <c r="D308" s="619">
        <v>1.5507</v>
      </c>
      <c r="E308" s="619">
        <v>0.47839999999999999</v>
      </c>
      <c r="F308" s="619">
        <v>0</v>
      </c>
      <c r="G308" s="619">
        <v>1.5507</v>
      </c>
      <c r="H308" s="619">
        <v>0</v>
      </c>
      <c r="I308" s="619">
        <v>36.223399999999998</v>
      </c>
      <c r="J308" s="619">
        <v>39.803199999999997</v>
      </c>
      <c r="K308" s="619">
        <v>38.252499999999998</v>
      </c>
    </row>
    <row r="309" spans="1:11" ht="9" customHeight="1" x14ac:dyDescent="0.25">
      <c r="A309" s="617" t="s">
        <v>1054</v>
      </c>
      <c r="B309" s="618" t="s">
        <v>1055</v>
      </c>
      <c r="C309" s="619">
        <v>43278.471599999997</v>
      </c>
      <c r="D309" s="619">
        <v>2.4731000000000001</v>
      </c>
      <c r="E309" s="619">
        <v>0.76290000000000002</v>
      </c>
      <c r="F309" s="619">
        <v>0</v>
      </c>
      <c r="G309" s="619">
        <v>2.4731000000000001</v>
      </c>
      <c r="H309" s="619">
        <v>0</v>
      </c>
      <c r="I309" s="619">
        <v>36.223399999999998</v>
      </c>
      <c r="J309" s="619">
        <v>41.932499999999997</v>
      </c>
      <c r="K309" s="619">
        <v>39.459400000000002</v>
      </c>
    </row>
    <row r="310" spans="1:11" ht="9" customHeight="1" x14ac:dyDescent="0.25">
      <c r="A310" s="617" t="s">
        <v>1056</v>
      </c>
      <c r="B310" s="618" t="s">
        <v>1057</v>
      </c>
      <c r="C310" s="619">
        <v>51082.787799999998</v>
      </c>
      <c r="D310" s="619">
        <v>2.919</v>
      </c>
      <c r="E310" s="619">
        <v>0.90049999999999997</v>
      </c>
      <c r="F310" s="619">
        <v>0</v>
      </c>
      <c r="G310" s="619">
        <v>2.919</v>
      </c>
      <c r="H310" s="619">
        <v>0</v>
      </c>
      <c r="I310" s="619">
        <v>36.223399999999998</v>
      </c>
      <c r="J310" s="619">
        <v>42.9619</v>
      </c>
      <c r="K310" s="619">
        <v>40.042900000000003</v>
      </c>
    </row>
    <row r="311" spans="1:11" ht="9" customHeight="1" x14ac:dyDescent="0.25">
      <c r="A311" s="617" t="s">
        <v>1058</v>
      </c>
      <c r="B311" s="618" t="s">
        <v>1059</v>
      </c>
      <c r="C311" s="619">
        <v>54630.191599999998</v>
      </c>
      <c r="D311" s="619">
        <v>3.1217000000000001</v>
      </c>
      <c r="E311" s="619">
        <v>0.96309999999999996</v>
      </c>
      <c r="F311" s="619">
        <v>0</v>
      </c>
      <c r="G311" s="619">
        <v>3.1217000000000001</v>
      </c>
      <c r="H311" s="619">
        <v>0</v>
      </c>
      <c r="I311" s="619">
        <v>36.223399999999998</v>
      </c>
      <c r="J311" s="619">
        <v>43.429900000000004</v>
      </c>
      <c r="K311" s="619">
        <v>40.308199999999999</v>
      </c>
    </row>
    <row r="312" spans="1:11" ht="9" customHeight="1" x14ac:dyDescent="0.25">
      <c r="A312" s="617" t="s">
        <v>1060</v>
      </c>
      <c r="B312" s="618" t="s">
        <v>1061</v>
      </c>
      <c r="C312" s="619">
        <v>58354.988499999999</v>
      </c>
      <c r="D312" s="619">
        <v>3.3346</v>
      </c>
      <c r="E312" s="619">
        <v>1.0286999999999999</v>
      </c>
      <c r="F312" s="619">
        <v>0</v>
      </c>
      <c r="G312" s="619">
        <v>3.3346</v>
      </c>
      <c r="H312" s="619">
        <v>0</v>
      </c>
      <c r="I312" s="619">
        <v>36.223399999999998</v>
      </c>
      <c r="J312" s="619">
        <v>43.921300000000002</v>
      </c>
      <c r="K312" s="619">
        <v>40.5867</v>
      </c>
    </row>
    <row r="313" spans="1:11" ht="9" customHeight="1" x14ac:dyDescent="0.25">
      <c r="A313" s="617" t="s">
        <v>1062</v>
      </c>
      <c r="B313" s="618" t="s">
        <v>1063</v>
      </c>
      <c r="C313" s="619">
        <v>131958.0822</v>
      </c>
      <c r="D313" s="619">
        <v>7.5404999999999998</v>
      </c>
      <c r="E313" s="619">
        <v>2.3262</v>
      </c>
      <c r="F313" s="619">
        <v>0</v>
      </c>
      <c r="G313" s="619">
        <v>5.6553000000000004</v>
      </c>
      <c r="H313" s="619">
        <v>11.8665</v>
      </c>
      <c r="I313" s="619">
        <v>26.8781</v>
      </c>
      <c r="J313" s="619">
        <v>54.266599999999997</v>
      </c>
      <c r="K313" s="619">
        <v>36.744799999999998</v>
      </c>
    </row>
    <row r="314" spans="1:11" ht="9" customHeight="1" x14ac:dyDescent="0.25">
      <c r="A314" s="617" t="s">
        <v>1064</v>
      </c>
      <c r="B314" s="618" t="s">
        <v>1065</v>
      </c>
      <c r="C314" s="619">
        <v>543166.57339999999</v>
      </c>
      <c r="D314" s="619">
        <v>31.0381</v>
      </c>
      <c r="E314" s="619">
        <v>9.5753000000000004</v>
      </c>
      <c r="F314" s="619">
        <v>0</v>
      </c>
      <c r="G314" s="619">
        <v>27.158300000000001</v>
      </c>
      <c r="H314" s="619">
        <v>5.4038000000000004</v>
      </c>
      <c r="I314" s="619">
        <v>0</v>
      </c>
      <c r="J314" s="619">
        <v>73.1755</v>
      </c>
      <c r="K314" s="619">
        <v>40.613399999999999</v>
      </c>
    </row>
    <row r="315" spans="1:11" ht="9" customHeight="1" x14ac:dyDescent="0.25">
      <c r="A315" s="617" t="s">
        <v>1066</v>
      </c>
      <c r="B315" s="618" t="s">
        <v>1067</v>
      </c>
      <c r="C315" s="619">
        <v>50207.450900000003</v>
      </c>
      <c r="D315" s="619">
        <v>4.0166000000000004</v>
      </c>
      <c r="E315" s="619">
        <v>0.92930000000000001</v>
      </c>
      <c r="F315" s="619">
        <v>0</v>
      </c>
      <c r="G315" s="619">
        <v>4.0166000000000004</v>
      </c>
      <c r="H315" s="619">
        <v>5.3444000000000003</v>
      </c>
      <c r="I315" s="619">
        <v>0</v>
      </c>
      <c r="J315" s="619">
        <v>14.306900000000001</v>
      </c>
      <c r="K315" s="619">
        <v>4.9459</v>
      </c>
    </row>
    <row r="316" spans="1:11" ht="9" customHeight="1" x14ac:dyDescent="0.25">
      <c r="A316" s="617" t="s">
        <v>1068</v>
      </c>
      <c r="B316" s="618" t="s">
        <v>1069</v>
      </c>
      <c r="C316" s="619">
        <v>129203.65519999999</v>
      </c>
      <c r="D316" s="619">
        <v>9.8440999999999992</v>
      </c>
      <c r="E316" s="619">
        <v>2.6573000000000002</v>
      </c>
      <c r="F316" s="619">
        <v>0</v>
      </c>
      <c r="G316" s="619">
        <v>9.8440999999999992</v>
      </c>
      <c r="H316" s="619">
        <v>0</v>
      </c>
      <c r="I316" s="619">
        <v>0</v>
      </c>
      <c r="J316" s="619">
        <v>22.345500000000001</v>
      </c>
      <c r="K316" s="619">
        <v>12.5014</v>
      </c>
    </row>
    <row r="317" spans="1:11" ht="9" customHeight="1" x14ac:dyDescent="0.25">
      <c r="A317" s="617" t="s">
        <v>1070</v>
      </c>
      <c r="B317" s="618" t="s">
        <v>1071</v>
      </c>
      <c r="C317" s="619">
        <v>60637.763700000003</v>
      </c>
      <c r="D317" s="619">
        <v>3.0318999999999998</v>
      </c>
      <c r="E317" s="619">
        <v>1.069</v>
      </c>
      <c r="F317" s="619">
        <v>0</v>
      </c>
      <c r="G317" s="619">
        <v>2.1656</v>
      </c>
      <c r="H317" s="619">
        <v>4.8272000000000004</v>
      </c>
      <c r="I317" s="619">
        <v>0</v>
      </c>
      <c r="J317" s="619">
        <v>11.0937</v>
      </c>
      <c r="K317" s="619">
        <v>4.1009000000000002</v>
      </c>
    </row>
    <row r="318" spans="1:11" ht="9" customHeight="1" x14ac:dyDescent="0.25">
      <c r="A318" s="617" t="s">
        <v>1072</v>
      </c>
      <c r="B318" s="618" t="s">
        <v>1073</v>
      </c>
      <c r="C318" s="619">
        <v>50213.272299999997</v>
      </c>
      <c r="D318" s="619">
        <v>4.0171000000000001</v>
      </c>
      <c r="E318" s="619">
        <v>0.9294</v>
      </c>
      <c r="F318" s="619">
        <v>0</v>
      </c>
      <c r="G318" s="619">
        <v>4.0171000000000001</v>
      </c>
      <c r="H318" s="619">
        <v>2.5859999999999999</v>
      </c>
      <c r="I318" s="619">
        <v>0</v>
      </c>
      <c r="J318" s="619">
        <v>11.5496</v>
      </c>
      <c r="K318" s="619">
        <v>4.9465000000000003</v>
      </c>
    </row>
    <row r="319" spans="1:11" ht="9" customHeight="1" x14ac:dyDescent="0.25">
      <c r="A319" s="617" t="s">
        <v>1074</v>
      </c>
      <c r="B319" s="618" t="s">
        <v>1075</v>
      </c>
      <c r="C319" s="619">
        <v>73887.736000000004</v>
      </c>
      <c r="D319" s="619">
        <v>5.9109999999999996</v>
      </c>
      <c r="E319" s="619">
        <v>1.3676999999999999</v>
      </c>
      <c r="F319" s="619">
        <v>0</v>
      </c>
      <c r="G319" s="619">
        <v>5.9109999999999996</v>
      </c>
      <c r="H319" s="619">
        <v>11.550700000000001</v>
      </c>
      <c r="I319" s="619">
        <v>0</v>
      </c>
      <c r="J319" s="619">
        <v>24.740400000000001</v>
      </c>
      <c r="K319" s="619">
        <v>7.2786999999999997</v>
      </c>
    </row>
    <row r="320" spans="1:11" ht="9" customHeight="1" x14ac:dyDescent="0.25">
      <c r="A320" s="617" t="s">
        <v>1076</v>
      </c>
      <c r="B320" s="618" t="s">
        <v>1077</v>
      </c>
      <c r="C320" s="619">
        <v>76985.829599999997</v>
      </c>
      <c r="D320" s="619">
        <v>6.1589</v>
      </c>
      <c r="E320" s="619">
        <v>1.425</v>
      </c>
      <c r="F320" s="619">
        <v>0</v>
      </c>
      <c r="G320" s="619">
        <v>6.1589</v>
      </c>
      <c r="H320" s="619">
        <v>11.550700000000001</v>
      </c>
      <c r="I320" s="619">
        <v>0</v>
      </c>
      <c r="J320" s="619">
        <v>25.293500000000002</v>
      </c>
      <c r="K320" s="619">
        <v>7.5838999999999999</v>
      </c>
    </row>
    <row r="321" spans="1:11" ht="9" customHeight="1" x14ac:dyDescent="0.25">
      <c r="A321" s="617" t="s">
        <v>1078</v>
      </c>
      <c r="B321" s="618" t="s">
        <v>1079</v>
      </c>
      <c r="C321" s="619">
        <v>150905.24909999999</v>
      </c>
      <c r="D321" s="619">
        <v>12.0724</v>
      </c>
      <c r="E321" s="619">
        <v>2.7932999999999999</v>
      </c>
      <c r="F321" s="619">
        <v>0</v>
      </c>
      <c r="G321" s="619">
        <v>10.5634</v>
      </c>
      <c r="H321" s="619">
        <v>0</v>
      </c>
      <c r="I321" s="619">
        <v>20.121700000000001</v>
      </c>
      <c r="J321" s="619">
        <v>45.550800000000002</v>
      </c>
      <c r="K321" s="619">
        <v>34.987400000000001</v>
      </c>
    </row>
    <row r="322" spans="1:11" ht="9" customHeight="1" x14ac:dyDescent="0.25">
      <c r="A322" s="617" t="s">
        <v>1080</v>
      </c>
      <c r="B322" s="618" t="s">
        <v>1081</v>
      </c>
      <c r="C322" s="619">
        <v>24829.1057</v>
      </c>
      <c r="D322" s="619">
        <v>1.9863</v>
      </c>
      <c r="E322" s="619">
        <v>0.45960000000000001</v>
      </c>
      <c r="F322" s="619">
        <v>0</v>
      </c>
      <c r="G322" s="619">
        <v>1.9863</v>
      </c>
      <c r="H322" s="619">
        <v>8.6198999999999995</v>
      </c>
      <c r="I322" s="619">
        <v>0</v>
      </c>
      <c r="J322" s="619">
        <v>13.052099999999999</v>
      </c>
      <c r="K322" s="619">
        <v>2.4459</v>
      </c>
    </row>
    <row r="323" spans="1:11" ht="9" customHeight="1" x14ac:dyDescent="0.25">
      <c r="A323" s="617" t="s">
        <v>1082</v>
      </c>
      <c r="B323" s="618" t="s">
        <v>1083</v>
      </c>
      <c r="C323" s="619">
        <v>46802.498800000001</v>
      </c>
      <c r="D323" s="619">
        <v>3.7442000000000002</v>
      </c>
      <c r="E323" s="619">
        <v>0.86629999999999996</v>
      </c>
      <c r="F323" s="619">
        <v>0</v>
      </c>
      <c r="G323" s="619">
        <v>3.7442000000000002</v>
      </c>
      <c r="H323" s="619">
        <v>2.0688</v>
      </c>
      <c r="I323" s="619">
        <v>0</v>
      </c>
      <c r="J323" s="619">
        <v>10.423500000000001</v>
      </c>
      <c r="K323" s="619">
        <v>4.6105</v>
      </c>
    </row>
    <row r="324" spans="1:11" ht="9" customHeight="1" x14ac:dyDescent="0.25">
      <c r="A324" s="617" t="s">
        <v>1084</v>
      </c>
      <c r="B324" s="618" t="s">
        <v>1085</v>
      </c>
      <c r="C324" s="619">
        <v>3606.2132999999999</v>
      </c>
      <c r="D324" s="619">
        <v>0.28849999999999998</v>
      </c>
      <c r="E324" s="619">
        <v>6.6799999999999998E-2</v>
      </c>
      <c r="F324" s="619">
        <v>0</v>
      </c>
      <c r="G324" s="619">
        <v>0.28849999999999998</v>
      </c>
      <c r="H324" s="619">
        <v>0</v>
      </c>
      <c r="I324" s="619">
        <v>0</v>
      </c>
      <c r="J324" s="619">
        <v>0.64380000000000004</v>
      </c>
      <c r="K324" s="619">
        <v>0.3553</v>
      </c>
    </row>
    <row r="325" spans="1:11" ht="9" customHeight="1" x14ac:dyDescent="0.25">
      <c r="A325" s="617" t="s">
        <v>1086</v>
      </c>
      <c r="B325" s="618" t="s">
        <v>1087</v>
      </c>
      <c r="C325" s="619">
        <v>79471.761499999993</v>
      </c>
      <c r="D325" s="619">
        <v>6.3577000000000004</v>
      </c>
      <c r="E325" s="619">
        <v>1.4710000000000001</v>
      </c>
      <c r="F325" s="619">
        <v>0</v>
      </c>
      <c r="G325" s="619">
        <v>6.3577000000000004</v>
      </c>
      <c r="H325" s="619">
        <v>8.9647000000000006</v>
      </c>
      <c r="I325" s="619">
        <v>0</v>
      </c>
      <c r="J325" s="619">
        <v>23.1511</v>
      </c>
      <c r="K325" s="619">
        <v>7.8287000000000004</v>
      </c>
    </row>
    <row r="326" spans="1:11" ht="9" customHeight="1" x14ac:dyDescent="0.25">
      <c r="A326" s="617" t="s">
        <v>1088</v>
      </c>
      <c r="B326" s="618" t="s">
        <v>1089</v>
      </c>
      <c r="C326" s="619">
        <v>535.60699999999997</v>
      </c>
      <c r="D326" s="619">
        <v>9.64E-2</v>
      </c>
      <c r="E326" s="619">
        <v>1.9800000000000002E-2</v>
      </c>
      <c r="F326" s="619">
        <v>0</v>
      </c>
      <c r="G326" s="619">
        <v>3.2099999999999997E-2</v>
      </c>
      <c r="H326" s="619">
        <v>0</v>
      </c>
      <c r="I326" s="619">
        <v>0</v>
      </c>
      <c r="J326" s="619">
        <v>0.14829999999999999</v>
      </c>
      <c r="K326" s="619">
        <v>0.1162</v>
      </c>
    </row>
    <row r="327" spans="1:11" ht="9" customHeight="1" x14ac:dyDescent="0.25">
      <c r="A327" s="617" t="s">
        <v>1090</v>
      </c>
      <c r="B327" s="618" t="s">
        <v>1091</v>
      </c>
      <c r="C327" s="619">
        <v>173344.49369999999</v>
      </c>
      <c r="D327" s="619">
        <v>11.5563</v>
      </c>
      <c r="E327" s="619">
        <v>3.1194999999999999</v>
      </c>
      <c r="F327" s="619">
        <v>0</v>
      </c>
      <c r="G327" s="619">
        <v>10.111800000000001</v>
      </c>
      <c r="H327" s="619">
        <v>84.343599999999995</v>
      </c>
      <c r="I327" s="619">
        <v>20.121700000000001</v>
      </c>
      <c r="J327" s="619">
        <v>129.25290000000001</v>
      </c>
      <c r="K327" s="619">
        <v>34.797499999999999</v>
      </c>
    </row>
    <row r="328" spans="1:11" ht="9" customHeight="1" x14ac:dyDescent="0.25">
      <c r="A328" s="617" t="s">
        <v>1092</v>
      </c>
      <c r="B328" s="618" t="s">
        <v>1093</v>
      </c>
      <c r="C328" s="619">
        <v>26307.903200000001</v>
      </c>
      <c r="D328" s="619">
        <v>2.1046</v>
      </c>
      <c r="E328" s="619">
        <v>0.48699999999999999</v>
      </c>
      <c r="F328" s="619">
        <v>0</v>
      </c>
      <c r="G328" s="619">
        <v>1.3153999999999999</v>
      </c>
      <c r="H328" s="619">
        <v>0</v>
      </c>
      <c r="I328" s="619">
        <v>20.121700000000001</v>
      </c>
      <c r="J328" s="619">
        <v>24.028700000000001</v>
      </c>
      <c r="K328" s="619">
        <v>22.7133</v>
      </c>
    </row>
    <row r="329" spans="1:11" ht="9" customHeight="1" x14ac:dyDescent="0.25">
      <c r="A329" s="617" t="s">
        <v>1094</v>
      </c>
      <c r="B329" s="618" t="s">
        <v>1095</v>
      </c>
      <c r="C329" s="619">
        <v>27623.289000000001</v>
      </c>
      <c r="D329" s="619">
        <v>2.2099000000000002</v>
      </c>
      <c r="E329" s="619">
        <v>0.51129999999999998</v>
      </c>
      <c r="F329" s="619">
        <v>0</v>
      </c>
      <c r="G329" s="619">
        <v>1.3812</v>
      </c>
      <c r="H329" s="619">
        <v>0</v>
      </c>
      <c r="I329" s="619">
        <v>20.121700000000001</v>
      </c>
      <c r="J329" s="619">
        <v>24.2241</v>
      </c>
      <c r="K329" s="619">
        <v>22.8429</v>
      </c>
    </row>
    <row r="330" spans="1:11" ht="9" customHeight="1" x14ac:dyDescent="0.25">
      <c r="A330" s="617" t="s">
        <v>1096</v>
      </c>
      <c r="B330" s="618" t="s">
        <v>1097</v>
      </c>
      <c r="C330" s="619">
        <v>5427.9659000000001</v>
      </c>
      <c r="D330" s="619">
        <v>0.31019999999999998</v>
      </c>
      <c r="E330" s="619">
        <v>9.5699999999999993E-2</v>
      </c>
      <c r="F330" s="619">
        <v>0</v>
      </c>
      <c r="G330" s="619">
        <v>0.31019999999999998</v>
      </c>
      <c r="H330" s="619">
        <v>0</v>
      </c>
      <c r="I330" s="619">
        <v>20.121700000000001</v>
      </c>
      <c r="J330" s="619">
        <v>20.837800000000001</v>
      </c>
      <c r="K330" s="619">
        <v>20.5276</v>
      </c>
    </row>
    <row r="331" spans="1:11" ht="9" customHeight="1" x14ac:dyDescent="0.25">
      <c r="A331" s="617" t="s">
        <v>1098</v>
      </c>
      <c r="B331" s="618" t="s">
        <v>1099</v>
      </c>
      <c r="C331" s="619">
        <v>6928.7240000000002</v>
      </c>
      <c r="D331" s="619">
        <v>0.62360000000000004</v>
      </c>
      <c r="E331" s="619">
        <v>0.1283</v>
      </c>
      <c r="F331" s="619">
        <v>0</v>
      </c>
      <c r="G331" s="619">
        <v>0.62360000000000004</v>
      </c>
      <c r="H331" s="619">
        <v>0</v>
      </c>
      <c r="I331" s="619">
        <v>20.121700000000001</v>
      </c>
      <c r="J331" s="619">
        <v>21.497199999999999</v>
      </c>
      <c r="K331" s="619">
        <v>20.8736</v>
      </c>
    </row>
    <row r="332" spans="1:11" ht="9" customHeight="1" x14ac:dyDescent="0.25">
      <c r="A332" s="617" t="s">
        <v>1100</v>
      </c>
      <c r="B332" s="618" t="s">
        <v>1101</v>
      </c>
      <c r="C332" s="619">
        <v>36528.8822</v>
      </c>
      <c r="D332" s="619">
        <v>2.9222999999999999</v>
      </c>
      <c r="E332" s="619">
        <v>0.67610000000000003</v>
      </c>
      <c r="F332" s="619">
        <v>0</v>
      </c>
      <c r="G332" s="619">
        <v>2.5569999999999999</v>
      </c>
      <c r="H332" s="619">
        <v>0</v>
      </c>
      <c r="I332" s="619">
        <v>0</v>
      </c>
      <c r="J332" s="619">
        <v>6.1554000000000002</v>
      </c>
      <c r="K332" s="619">
        <v>3.5983999999999998</v>
      </c>
    </row>
    <row r="333" spans="1:11" ht="9" customHeight="1" x14ac:dyDescent="0.25">
      <c r="A333" s="617" t="s">
        <v>1102</v>
      </c>
      <c r="B333" s="618" t="s">
        <v>1103</v>
      </c>
      <c r="C333" s="619">
        <v>1403619.8861</v>
      </c>
      <c r="D333" s="619">
        <v>112.28959999999999</v>
      </c>
      <c r="E333" s="619">
        <v>25.981000000000002</v>
      </c>
      <c r="F333" s="619">
        <v>0</v>
      </c>
      <c r="G333" s="619">
        <v>112.28959999999999</v>
      </c>
      <c r="H333" s="619">
        <v>173.43389999999999</v>
      </c>
      <c r="I333" s="619">
        <v>20.121700000000001</v>
      </c>
      <c r="J333" s="619">
        <v>444.11579999999998</v>
      </c>
      <c r="K333" s="619">
        <v>158.39230000000001</v>
      </c>
    </row>
    <row r="334" spans="1:11" ht="9" customHeight="1" x14ac:dyDescent="0.25">
      <c r="A334" s="617" t="s">
        <v>1104</v>
      </c>
      <c r="B334" s="618" t="s">
        <v>1105</v>
      </c>
      <c r="C334" s="619">
        <v>824231.23289999994</v>
      </c>
      <c r="D334" s="619">
        <v>32.969200000000001</v>
      </c>
      <c r="E334" s="619">
        <v>13.985099999999999</v>
      </c>
      <c r="F334" s="619">
        <v>0</v>
      </c>
      <c r="G334" s="619">
        <v>28.848099999999999</v>
      </c>
      <c r="H334" s="619">
        <v>0</v>
      </c>
      <c r="I334" s="619">
        <v>20.121700000000001</v>
      </c>
      <c r="J334" s="619">
        <v>95.924099999999996</v>
      </c>
      <c r="K334" s="619">
        <v>67.075999999999993</v>
      </c>
    </row>
    <row r="335" spans="1:11" ht="9" customHeight="1" x14ac:dyDescent="0.25">
      <c r="A335" s="617" t="s">
        <v>1106</v>
      </c>
      <c r="B335" s="618" t="s">
        <v>1107</v>
      </c>
      <c r="C335" s="619">
        <v>1314782.3489999999</v>
      </c>
      <c r="D335" s="619">
        <v>75.130399999999995</v>
      </c>
      <c r="E335" s="619">
        <v>23.177700000000002</v>
      </c>
      <c r="F335" s="619">
        <v>0</v>
      </c>
      <c r="G335" s="619">
        <v>84.521699999999996</v>
      </c>
      <c r="H335" s="619">
        <v>94.810500000000005</v>
      </c>
      <c r="I335" s="619">
        <v>36.223399999999998</v>
      </c>
      <c r="J335" s="619">
        <v>313.86369999999999</v>
      </c>
      <c r="K335" s="619">
        <v>134.53149999999999</v>
      </c>
    </row>
    <row r="336" spans="1:11" ht="9" customHeight="1" x14ac:dyDescent="0.25">
      <c r="A336" s="617" t="s">
        <v>1108</v>
      </c>
      <c r="B336" s="618" t="s">
        <v>1109</v>
      </c>
      <c r="C336" s="619">
        <v>15617.8735</v>
      </c>
      <c r="D336" s="619">
        <v>1.2494000000000001</v>
      </c>
      <c r="E336" s="619">
        <v>0.28910000000000002</v>
      </c>
      <c r="F336" s="619">
        <v>0</v>
      </c>
      <c r="G336" s="619">
        <v>1.2494000000000001</v>
      </c>
      <c r="H336" s="619">
        <v>0</v>
      </c>
      <c r="I336" s="619">
        <v>0</v>
      </c>
      <c r="J336" s="619">
        <v>2.7879</v>
      </c>
      <c r="K336" s="619">
        <v>1.5385</v>
      </c>
    </row>
    <row r="337" spans="1:11" ht="9" customHeight="1" x14ac:dyDescent="0.25">
      <c r="A337" s="617" t="s">
        <v>1110</v>
      </c>
      <c r="B337" s="618" t="s">
        <v>1111</v>
      </c>
      <c r="C337" s="619">
        <v>4007.9488000000001</v>
      </c>
      <c r="D337" s="619">
        <v>0.3206</v>
      </c>
      <c r="E337" s="619">
        <v>7.4200000000000002E-2</v>
      </c>
      <c r="F337" s="619">
        <v>0</v>
      </c>
      <c r="G337" s="619">
        <v>0.24049999999999999</v>
      </c>
      <c r="H337" s="619">
        <v>0</v>
      </c>
      <c r="I337" s="619">
        <v>0</v>
      </c>
      <c r="J337" s="619">
        <v>0.63529999999999998</v>
      </c>
      <c r="K337" s="619">
        <v>0.39479999999999998</v>
      </c>
    </row>
    <row r="338" spans="1:11" ht="9" customHeight="1" x14ac:dyDescent="0.25">
      <c r="A338" s="617" t="s">
        <v>440</v>
      </c>
      <c r="B338" s="618" t="s">
        <v>1112</v>
      </c>
      <c r="C338" s="619">
        <v>869455.52679999999</v>
      </c>
      <c r="D338" s="619">
        <v>57.963700000000003</v>
      </c>
      <c r="E338" s="619">
        <v>15.646599999999999</v>
      </c>
      <c r="F338" s="619">
        <v>0</v>
      </c>
      <c r="G338" s="619">
        <v>57.963700000000003</v>
      </c>
      <c r="H338" s="619">
        <v>67.243700000000004</v>
      </c>
      <c r="I338" s="619">
        <v>26.8781</v>
      </c>
      <c r="J338" s="619">
        <v>225.69579999999999</v>
      </c>
      <c r="K338" s="619">
        <v>100.4884</v>
      </c>
    </row>
    <row r="339" spans="1:11" ht="9" customHeight="1" x14ac:dyDescent="0.25">
      <c r="A339" s="617" t="s">
        <v>1113</v>
      </c>
      <c r="B339" s="618" t="s">
        <v>1114</v>
      </c>
      <c r="C339" s="619">
        <v>54021.998800000001</v>
      </c>
      <c r="D339" s="619">
        <v>2.7010999999999998</v>
      </c>
      <c r="E339" s="619">
        <v>0.95230000000000004</v>
      </c>
      <c r="F339" s="619">
        <v>0</v>
      </c>
      <c r="G339" s="619">
        <v>1.9294</v>
      </c>
      <c r="H339" s="619">
        <v>34.686799999999998</v>
      </c>
      <c r="I339" s="619">
        <v>0</v>
      </c>
      <c r="J339" s="619">
        <v>40.269599999999997</v>
      </c>
      <c r="K339" s="619">
        <v>3.6534</v>
      </c>
    </row>
    <row r="340" spans="1:11" ht="9" customHeight="1" x14ac:dyDescent="0.25">
      <c r="A340" s="617" t="s">
        <v>1115</v>
      </c>
      <c r="B340" s="618" t="s">
        <v>1116</v>
      </c>
      <c r="C340" s="619">
        <v>184456.7838</v>
      </c>
      <c r="D340" s="619">
        <v>12.5167</v>
      </c>
      <c r="E340" s="619">
        <v>3.2517</v>
      </c>
      <c r="F340" s="619">
        <v>0</v>
      </c>
      <c r="G340" s="619">
        <v>10.5404</v>
      </c>
      <c r="H340" s="619">
        <v>0</v>
      </c>
      <c r="I340" s="619">
        <v>20.121700000000001</v>
      </c>
      <c r="J340" s="619">
        <v>46.430500000000002</v>
      </c>
      <c r="K340" s="619">
        <v>35.890099999999997</v>
      </c>
    </row>
    <row r="341" spans="1:11" ht="9" customHeight="1" x14ac:dyDescent="0.25">
      <c r="A341" s="617" t="s">
        <v>1117</v>
      </c>
      <c r="B341" s="618" t="s">
        <v>1118</v>
      </c>
      <c r="C341" s="619">
        <v>7552.2294000000002</v>
      </c>
      <c r="D341" s="619">
        <v>0.50349999999999995</v>
      </c>
      <c r="E341" s="619">
        <v>0.13589999999999999</v>
      </c>
      <c r="F341" s="619">
        <v>0</v>
      </c>
      <c r="G341" s="619">
        <v>0.50349999999999995</v>
      </c>
      <c r="H341" s="619">
        <v>11.249000000000001</v>
      </c>
      <c r="I341" s="619">
        <v>0</v>
      </c>
      <c r="J341" s="619">
        <v>12.3919</v>
      </c>
      <c r="K341" s="619">
        <v>0.63939999999999997</v>
      </c>
    </row>
    <row r="342" spans="1:11" ht="9" customHeight="1" x14ac:dyDescent="0.25">
      <c r="A342" s="617" t="s">
        <v>1119</v>
      </c>
      <c r="B342" s="618" t="s">
        <v>1120</v>
      </c>
      <c r="C342" s="619">
        <v>533218.39249999996</v>
      </c>
      <c r="D342" s="619">
        <v>35.547899999999998</v>
      </c>
      <c r="E342" s="619">
        <v>9.5957000000000008</v>
      </c>
      <c r="F342" s="619">
        <v>0</v>
      </c>
      <c r="G342" s="619">
        <v>35.547899999999998</v>
      </c>
      <c r="H342" s="619">
        <v>220.6627</v>
      </c>
      <c r="I342" s="619">
        <v>0</v>
      </c>
      <c r="J342" s="619">
        <v>301.35419999999999</v>
      </c>
      <c r="K342" s="619">
        <v>45.143599999999999</v>
      </c>
    </row>
    <row r="343" spans="1:11" ht="9" customHeight="1" x14ac:dyDescent="0.25">
      <c r="A343" s="617" t="s">
        <v>1121</v>
      </c>
      <c r="B343" s="618" t="s">
        <v>1122</v>
      </c>
      <c r="C343" s="619">
        <v>278001.64380000002</v>
      </c>
      <c r="D343" s="619">
        <v>22.240100000000002</v>
      </c>
      <c r="E343" s="619">
        <v>5.1458000000000004</v>
      </c>
      <c r="F343" s="619">
        <v>0</v>
      </c>
      <c r="G343" s="619">
        <v>22.240100000000002</v>
      </c>
      <c r="H343" s="619">
        <v>6.4748999999999999</v>
      </c>
      <c r="I343" s="619">
        <v>20.121700000000001</v>
      </c>
      <c r="J343" s="619">
        <v>76.2226</v>
      </c>
      <c r="K343" s="619">
        <v>47.507599999999996</v>
      </c>
    </row>
    <row r="344" spans="1:11" ht="9" customHeight="1" x14ac:dyDescent="0.25">
      <c r="A344" s="617" t="s">
        <v>1123</v>
      </c>
      <c r="B344" s="618" t="s">
        <v>1124</v>
      </c>
      <c r="C344" s="619">
        <v>439069.44069999998</v>
      </c>
      <c r="D344" s="619">
        <v>30.7349</v>
      </c>
      <c r="E344" s="619">
        <v>8.1272000000000002</v>
      </c>
      <c r="F344" s="619">
        <v>0</v>
      </c>
      <c r="G344" s="619">
        <v>30.7349</v>
      </c>
      <c r="H344" s="619">
        <v>45.883899999999997</v>
      </c>
      <c r="I344" s="619">
        <v>26.8781</v>
      </c>
      <c r="J344" s="619">
        <v>142.35900000000001</v>
      </c>
      <c r="K344" s="619">
        <v>65.740200000000002</v>
      </c>
    </row>
    <row r="345" spans="1:11" ht="9" customHeight="1" x14ac:dyDescent="0.25">
      <c r="A345" s="617" t="s">
        <v>1125</v>
      </c>
      <c r="B345" s="618" t="s">
        <v>1126</v>
      </c>
      <c r="C345" s="619">
        <v>439069.44069999998</v>
      </c>
      <c r="D345" s="619">
        <v>30.7349</v>
      </c>
      <c r="E345" s="619">
        <v>8.1272000000000002</v>
      </c>
      <c r="F345" s="619">
        <v>0</v>
      </c>
      <c r="G345" s="619">
        <v>30.7349</v>
      </c>
      <c r="H345" s="619">
        <v>45.883899999999997</v>
      </c>
      <c r="I345" s="619">
        <v>26.8781</v>
      </c>
      <c r="J345" s="619">
        <v>142.35900000000001</v>
      </c>
      <c r="K345" s="619">
        <v>65.740200000000002</v>
      </c>
    </row>
    <row r="346" spans="1:11" ht="9" customHeight="1" x14ac:dyDescent="0.25">
      <c r="A346" s="617" t="s">
        <v>1127</v>
      </c>
      <c r="B346" s="618" t="s">
        <v>1128</v>
      </c>
      <c r="C346" s="619">
        <v>439069.44069999998</v>
      </c>
      <c r="D346" s="619">
        <v>30.7349</v>
      </c>
      <c r="E346" s="619">
        <v>8.1272000000000002</v>
      </c>
      <c r="F346" s="619">
        <v>0</v>
      </c>
      <c r="G346" s="619">
        <v>30.7349</v>
      </c>
      <c r="H346" s="619">
        <v>45.883899999999997</v>
      </c>
      <c r="I346" s="619">
        <v>26.8781</v>
      </c>
      <c r="J346" s="619">
        <v>142.35900000000001</v>
      </c>
      <c r="K346" s="619">
        <v>65.740200000000002</v>
      </c>
    </row>
    <row r="347" spans="1:11" ht="9" customHeight="1" x14ac:dyDescent="0.25">
      <c r="A347" s="617" t="s">
        <v>1129</v>
      </c>
      <c r="B347" s="618" t="s">
        <v>1130</v>
      </c>
      <c r="C347" s="619">
        <v>439069.44069999998</v>
      </c>
      <c r="D347" s="619">
        <v>30.7349</v>
      </c>
      <c r="E347" s="619">
        <v>8.1272000000000002</v>
      </c>
      <c r="F347" s="619">
        <v>0</v>
      </c>
      <c r="G347" s="619">
        <v>30.7349</v>
      </c>
      <c r="H347" s="619">
        <v>45.883899999999997</v>
      </c>
      <c r="I347" s="619">
        <v>26.8781</v>
      </c>
      <c r="J347" s="619">
        <v>142.35900000000001</v>
      </c>
      <c r="K347" s="619">
        <v>65.740200000000002</v>
      </c>
    </row>
    <row r="348" spans="1:11" ht="9" customHeight="1" x14ac:dyDescent="0.25">
      <c r="A348" s="617" t="s">
        <v>1131</v>
      </c>
      <c r="B348" s="618" t="s">
        <v>1132</v>
      </c>
      <c r="C348" s="619">
        <v>439069.44069999998</v>
      </c>
      <c r="D348" s="619">
        <v>30.7349</v>
      </c>
      <c r="E348" s="619">
        <v>8.1272000000000002</v>
      </c>
      <c r="F348" s="619">
        <v>0</v>
      </c>
      <c r="G348" s="619">
        <v>30.7349</v>
      </c>
      <c r="H348" s="619">
        <v>45.883899999999997</v>
      </c>
      <c r="I348" s="619">
        <v>26.8781</v>
      </c>
      <c r="J348" s="619">
        <v>142.35900000000001</v>
      </c>
      <c r="K348" s="619">
        <v>65.740200000000002</v>
      </c>
    </row>
    <row r="349" spans="1:11" ht="9" customHeight="1" x14ac:dyDescent="0.25">
      <c r="A349" s="617" t="s">
        <v>1133</v>
      </c>
      <c r="B349" s="618" t="s">
        <v>1134</v>
      </c>
      <c r="C349" s="619">
        <v>1703902.798</v>
      </c>
      <c r="D349" s="619">
        <v>194.73169999999999</v>
      </c>
      <c r="E349" s="619">
        <v>33.792000000000002</v>
      </c>
      <c r="F349" s="619">
        <v>0</v>
      </c>
      <c r="G349" s="619">
        <v>243.41470000000001</v>
      </c>
      <c r="H349" s="619">
        <v>81.483500000000006</v>
      </c>
      <c r="I349" s="619">
        <v>26.8781</v>
      </c>
      <c r="J349" s="619">
        <v>580.29999999999995</v>
      </c>
      <c r="K349" s="619">
        <v>255.40180000000001</v>
      </c>
    </row>
    <row r="350" spans="1:11" ht="9" customHeight="1" x14ac:dyDescent="0.25">
      <c r="A350" s="617" t="s">
        <v>1135</v>
      </c>
      <c r="B350" s="618" t="s">
        <v>1136</v>
      </c>
      <c r="C350" s="619">
        <v>105378.0588</v>
      </c>
      <c r="D350" s="619">
        <v>5.2689000000000004</v>
      </c>
      <c r="E350" s="619">
        <v>1.8576999999999999</v>
      </c>
      <c r="F350" s="619">
        <v>0</v>
      </c>
      <c r="G350" s="619">
        <v>3.7635000000000001</v>
      </c>
      <c r="H350" s="619">
        <v>134.12219999999999</v>
      </c>
      <c r="I350" s="619">
        <v>0</v>
      </c>
      <c r="J350" s="619">
        <v>145.01230000000001</v>
      </c>
      <c r="K350" s="619">
        <v>7.1265999999999998</v>
      </c>
    </row>
    <row r="351" spans="1:11" ht="9" customHeight="1" x14ac:dyDescent="0.25">
      <c r="A351" s="617" t="s">
        <v>1137</v>
      </c>
      <c r="B351" s="618" t="s">
        <v>1138</v>
      </c>
      <c r="C351" s="619">
        <v>4247056.2916000001</v>
      </c>
      <c r="D351" s="619">
        <v>297.29390000000001</v>
      </c>
      <c r="E351" s="619">
        <v>78.613</v>
      </c>
      <c r="F351" s="619">
        <v>0</v>
      </c>
      <c r="G351" s="619">
        <v>382.23509999999999</v>
      </c>
      <c r="H351" s="619">
        <v>67.547899999999998</v>
      </c>
      <c r="I351" s="619">
        <v>26.8781</v>
      </c>
      <c r="J351" s="619">
        <v>852.56799999999998</v>
      </c>
      <c r="K351" s="619">
        <v>402.78500000000003</v>
      </c>
    </row>
    <row r="352" spans="1:11" ht="9" customHeight="1" x14ac:dyDescent="0.25">
      <c r="A352" s="617" t="s">
        <v>1139</v>
      </c>
      <c r="B352" s="618" t="s">
        <v>1140</v>
      </c>
      <c r="C352" s="619">
        <v>199839.4657</v>
      </c>
      <c r="D352" s="619">
        <v>9.9920000000000009</v>
      </c>
      <c r="E352" s="619">
        <v>3.5228999999999999</v>
      </c>
      <c r="F352" s="619">
        <v>0</v>
      </c>
      <c r="G352" s="619">
        <v>7.1371000000000002</v>
      </c>
      <c r="H352" s="619">
        <v>300.61880000000002</v>
      </c>
      <c r="I352" s="619">
        <v>0</v>
      </c>
      <c r="J352" s="619">
        <v>321.27080000000001</v>
      </c>
      <c r="K352" s="619">
        <v>13.514900000000001</v>
      </c>
    </row>
    <row r="353" spans="1:11" ht="9" customHeight="1" x14ac:dyDescent="0.25">
      <c r="A353" s="617" t="s">
        <v>174</v>
      </c>
      <c r="B353" s="618" t="s">
        <v>1141</v>
      </c>
      <c r="C353" s="619">
        <v>79391.201700000005</v>
      </c>
      <c r="D353" s="619">
        <v>3.9695999999999998</v>
      </c>
      <c r="E353" s="619">
        <v>1.3996</v>
      </c>
      <c r="F353" s="619">
        <v>0</v>
      </c>
      <c r="G353" s="619">
        <v>2.8353999999999999</v>
      </c>
      <c r="H353" s="619">
        <v>97.123000000000005</v>
      </c>
      <c r="I353" s="619">
        <v>0</v>
      </c>
      <c r="J353" s="619">
        <v>105.3276</v>
      </c>
      <c r="K353" s="619">
        <v>5.3692000000000002</v>
      </c>
    </row>
    <row r="354" spans="1:11" ht="9" customHeight="1" x14ac:dyDescent="0.25">
      <c r="A354" s="617" t="s">
        <v>1142</v>
      </c>
      <c r="B354" s="618" t="s">
        <v>1143</v>
      </c>
      <c r="C354" s="619">
        <v>221404.7084</v>
      </c>
      <c r="D354" s="619">
        <v>17.712399999999999</v>
      </c>
      <c r="E354" s="619">
        <v>4.0982000000000003</v>
      </c>
      <c r="F354" s="619">
        <v>0</v>
      </c>
      <c r="G354" s="619">
        <v>17.712399999999999</v>
      </c>
      <c r="H354" s="619">
        <v>8.0936000000000003</v>
      </c>
      <c r="I354" s="619">
        <v>20.121700000000001</v>
      </c>
      <c r="J354" s="619">
        <v>67.738299999999995</v>
      </c>
      <c r="K354" s="619">
        <v>41.932299999999998</v>
      </c>
    </row>
    <row r="355" spans="1:11" ht="9" customHeight="1" x14ac:dyDescent="0.25">
      <c r="A355" s="617" t="s">
        <v>1144</v>
      </c>
      <c r="B355" s="618" t="s">
        <v>1145</v>
      </c>
      <c r="C355" s="619">
        <v>502822.68599999999</v>
      </c>
      <c r="D355" s="619">
        <v>40.2258</v>
      </c>
      <c r="E355" s="619">
        <v>9.3071999999999999</v>
      </c>
      <c r="F355" s="619">
        <v>0</v>
      </c>
      <c r="G355" s="619">
        <v>40.2258</v>
      </c>
      <c r="H355" s="619">
        <v>0</v>
      </c>
      <c r="I355" s="619">
        <v>20.121700000000001</v>
      </c>
      <c r="J355" s="619">
        <v>109.8805</v>
      </c>
      <c r="K355" s="619">
        <v>69.654700000000005</v>
      </c>
    </row>
    <row r="356" spans="1:11" ht="9" customHeight="1" x14ac:dyDescent="0.25">
      <c r="A356" s="617" t="s">
        <v>1146</v>
      </c>
      <c r="B356" s="618" t="s">
        <v>1147</v>
      </c>
      <c r="C356" s="619">
        <v>42102.527600000001</v>
      </c>
      <c r="D356" s="619">
        <v>3.3681999999999999</v>
      </c>
      <c r="E356" s="619">
        <v>0.77929999999999999</v>
      </c>
      <c r="F356" s="619">
        <v>0</v>
      </c>
      <c r="G356" s="619">
        <v>3.3681999999999999</v>
      </c>
      <c r="H356" s="619">
        <v>0</v>
      </c>
      <c r="I356" s="619">
        <v>20.121700000000001</v>
      </c>
      <c r="J356" s="619">
        <v>27.6374</v>
      </c>
      <c r="K356" s="619">
        <v>24.269200000000001</v>
      </c>
    </row>
    <row r="357" spans="1:11" ht="9" customHeight="1" x14ac:dyDescent="0.25">
      <c r="A357" s="617" t="s">
        <v>1148</v>
      </c>
      <c r="B357" s="618" t="s">
        <v>1149</v>
      </c>
      <c r="C357" s="619">
        <v>581792.98549999995</v>
      </c>
      <c r="D357" s="619">
        <v>38.786200000000001</v>
      </c>
      <c r="E357" s="619">
        <v>10.469799999999999</v>
      </c>
      <c r="F357" s="619">
        <v>0</v>
      </c>
      <c r="G357" s="619">
        <v>38.786200000000001</v>
      </c>
      <c r="H357" s="619">
        <v>21.907399999999999</v>
      </c>
      <c r="I357" s="619">
        <v>20.121700000000001</v>
      </c>
      <c r="J357" s="619">
        <v>130.07130000000001</v>
      </c>
      <c r="K357" s="619">
        <v>69.377700000000004</v>
      </c>
    </row>
    <row r="358" spans="1:11" ht="9" customHeight="1" x14ac:dyDescent="0.25">
      <c r="A358" s="617" t="s">
        <v>1150</v>
      </c>
      <c r="B358" s="618" t="s">
        <v>1151</v>
      </c>
      <c r="C358" s="619">
        <v>2322532.682</v>
      </c>
      <c r="D358" s="619">
        <v>116.1266</v>
      </c>
      <c r="E358" s="619">
        <v>40.942900000000002</v>
      </c>
      <c r="F358" s="619">
        <v>16.589500000000001</v>
      </c>
      <c r="G358" s="619">
        <v>149.3057</v>
      </c>
      <c r="H358" s="619">
        <v>56.594200000000001</v>
      </c>
      <c r="I358" s="619">
        <v>27.6343</v>
      </c>
      <c r="J358" s="619">
        <v>407.19319999999999</v>
      </c>
      <c r="K358" s="619">
        <v>201.29329999999999</v>
      </c>
    </row>
    <row r="359" spans="1:11" ht="9" customHeight="1" x14ac:dyDescent="0.25">
      <c r="A359" s="617" t="s">
        <v>1152</v>
      </c>
      <c r="B359" s="618" t="s">
        <v>1153</v>
      </c>
      <c r="C359" s="619">
        <v>14875.427900000001</v>
      </c>
      <c r="D359" s="619">
        <v>1.19</v>
      </c>
      <c r="E359" s="619">
        <v>0.27529999999999999</v>
      </c>
      <c r="F359" s="619">
        <v>0</v>
      </c>
      <c r="G359" s="619">
        <v>1.19</v>
      </c>
      <c r="H359" s="619">
        <v>4.2779999999999996</v>
      </c>
      <c r="I359" s="619">
        <v>20.121700000000001</v>
      </c>
      <c r="J359" s="619">
        <v>27.055</v>
      </c>
      <c r="K359" s="619">
        <v>21.587</v>
      </c>
    </row>
    <row r="360" spans="1:11" ht="9" customHeight="1" x14ac:dyDescent="0.25">
      <c r="A360" s="617" t="s">
        <v>1154</v>
      </c>
      <c r="B360" s="618" t="s">
        <v>1155</v>
      </c>
      <c r="C360" s="619">
        <v>1632.5471</v>
      </c>
      <c r="D360" s="619">
        <v>0.29389999999999999</v>
      </c>
      <c r="E360" s="619">
        <v>6.0400000000000002E-2</v>
      </c>
      <c r="F360" s="619">
        <v>0</v>
      </c>
      <c r="G360" s="619">
        <v>0.1633</v>
      </c>
      <c r="H360" s="619">
        <v>0</v>
      </c>
      <c r="I360" s="619">
        <v>0</v>
      </c>
      <c r="J360" s="619">
        <v>0.51759999999999995</v>
      </c>
      <c r="K360" s="619">
        <v>0.3543</v>
      </c>
    </row>
    <row r="361" spans="1:11" ht="9" customHeight="1" x14ac:dyDescent="0.25">
      <c r="A361" s="617" t="s">
        <v>1156</v>
      </c>
      <c r="B361" s="618" t="s">
        <v>1157</v>
      </c>
      <c r="C361" s="619">
        <v>253684.64790000001</v>
      </c>
      <c r="D361" s="619">
        <v>20.294799999999999</v>
      </c>
      <c r="E361" s="619">
        <v>4.6957000000000004</v>
      </c>
      <c r="F361" s="619">
        <v>0</v>
      </c>
      <c r="G361" s="619">
        <v>20.294799999999999</v>
      </c>
      <c r="H361" s="619">
        <v>16.996500000000001</v>
      </c>
      <c r="I361" s="619">
        <v>36.223399999999998</v>
      </c>
      <c r="J361" s="619">
        <v>98.505200000000002</v>
      </c>
      <c r="K361" s="619">
        <v>61.213900000000002</v>
      </c>
    </row>
    <row r="362" spans="1:11" ht="9" customHeight="1" x14ac:dyDescent="0.25">
      <c r="A362" s="617" t="s">
        <v>1158</v>
      </c>
      <c r="B362" s="618" t="s">
        <v>1159</v>
      </c>
      <c r="C362" s="619">
        <v>29786.1986</v>
      </c>
      <c r="D362" s="619">
        <v>2.3828999999999998</v>
      </c>
      <c r="E362" s="619">
        <v>0.55130000000000001</v>
      </c>
      <c r="F362" s="619">
        <v>0</v>
      </c>
      <c r="G362" s="619">
        <v>2.085</v>
      </c>
      <c r="H362" s="619">
        <v>0</v>
      </c>
      <c r="I362" s="619">
        <v>0</v>
      </c>
      <c r="J362" s="619">
        <v>5.0191999999999997</v>
      </c>
      <c r="K362" s="619">
        <v>2.9342000000000001</v>
      </c>
    </row>
    <row r="363" spans="1:11" ht="9" customHeight="1" x14ac:dyDescent="0.25">
      <c r="A363" s="617" t="s">
        <v>1160</v>
      </c>
      <c r="B363" s="618" t="s">
        <v>1161</v>
      </c>
      <c r="C363" s="619">
        <v>6531791.7268000003</v>
      </c>
      <c r="D363" s="619">
        <v>522.54330000000004</v>
      </c>
      <c r="E363" s="619">
        <v>120.90349999999999</v>
      </c>
      <c r="F363" s="619">
        <v>0</v>
      </c>
      <c r="G363" s="619">
        <v>522.54330000000004</v>
      </c>
      <c r="H363" s="619">
        <v>80.9358</v>
      </c>
      <c r="I363" s="619">
        <v>36.223399999999998</v>
      </c>
      <c r="J363" s="619">
        <v>1283.1493</v>
      </c>
      <c r="K363" s="619">
        <v>679.67020000000002</v>
      </c>
    </row>
    <row r="364" spans="1:11" ht="9" customHeight="1" x14ac:dyDescent="0.25">
      <c r="A364" s="617" t="s">
        <v>1162</v>
      </c>
      <c r="B364" s="618" t="s">
        <v>1163</v>
      </c>
      <c r="C364" s="619">
        <v>1592929.8862000001</v>
      </c>
      <c r="D364" s="619">
        <v>106.1953</v>
      </c>
      <c r="E364" s="619">
        <v>28.6661</v>
      </c>
      <c r="F364" s="619">
        <v>0</v>
      </c>
      <c r="G364" s="619">
        <v>106.1953</v>
      </c>
      <c r="H364" s="619">
        <v>54.768599999999999</v>
      </c>
      <c r="I364" s="619">
        <v>26.8781</v>
      </c>
      <c r="J364" s="619">
        <v>322.70339999999999</v>
      </c>
      <c r="K364" s="619">
        <v>161.73949999999999</v>
      </c>
    </row>
    <row r="365" spans="1:11" ht="9" customHeight="1" x14ac:dyDescent="0.25">
      <c r="A365" s="617" t="s">
        <v>1164</v>
      </c>
      <c r="B365" s="618" t="s">
        <v>1165</v>
      </c>
      <c r="C365" s="619">
        <v>8811662.4201999996</v>
      </c>
      <c r="D365" s="619">
        <v>587.44420000000002</v>
      </c>
      <c r="E365" s="619">
        <v>158.57320000000001</v>
      </c>
      <c r="F365" s="619">
        <v>0</v>
      </c>
      <c r="G365" s="619">
        <v>734.30520000000001</v>
      </c>
      <c r="H365" s="619">
        <v>198.07980000000001</v>
      </c>
      <c r="I365" s="619">
        <v>36.223399999999998</v>
      </c>
      <c r="J365" s="619">
        <v>1714.6258</v>
      </c>
      <c r="K365" s="619">
        <v>782.24080000000004</v>
      </c>
    </row>
    <row r="366" spans="1:11" ht="9" customHeight="1" x14ac:dyDescent="0.25">
      <c r="A366" s="617" t="s">
        <v>169</v>
      </c>
      <c r="B366" s="618" t="s">
        <v>1166</v>
      </c>
      <c r="C366" s="619">
        <v>1605967.8825000001</v>
      </c>
      <c r="D366" s="619">
        <v>107.0645</v>
      </c>
      <c r="E366" s="619">
        <v>28.900700000000001</v>
      </c>
      <c r="F366" s="619">
        <v>0</v>
      </c>
      <c r="G366" s="619">
        <v>107.0645</v>
      </c>
      <c r="H366" s="619">
        <v>112.2756</v>
      </c>
      <c r="I366" s="619">
        <v>26.8781</v>
      </c>
      <c r="J366" s="619">
        <v>382.18340000000001</v>
      </c>
      <c r="K366" s="619">
        <v>162.8433</v>
      </c>
    </row>
    <row r="367" spans="1:11" ht="9" customHeight="1" x14ac:dyDescent="0.25">
      <c r="A367" s="617" t="s">
        <v>1167</v>
      </c>
      <c r="B367" s="618" t="s">
        <v>1168</v>
      </c>
      <c r="C367" s="928"/>
      <c r="D367" s="928"/>
      <c r="E367" s="928"/>
      <c r="F367" s="928"/>
      <c r="G367" s="928"/>
      <c r="H367" s="928"/>
      <c r="I367" s="928"/>
      <c r="J367" s="619">
        <v>457.18049999999999</v>
      </c>
      <c r="K367" s="619">
        <v>89.941599999999994</v>
      </c>
    </row>
    <row r="368" spans="1:11" ht="9" customHeight="1" x14ac:dyDescent="0.25">
      <c r="A368" s="617" t="s">
        <v>1169</v>
      </c>
      <c r="B368" s="618" t="s">
        <v>1170</v>
      </c>
      <c r="C368" s="619">
        <v>788497.99430000002</v>
      </c>
      <c r="D368" s="619">
        <v>33.7928</v>
      </c>
      <c r="E368" s="619">
        <v>13.9001</v>
      </c>
      <c r="F368" s="619">
        <v>5.6321000000000003</v>
      </c>
      <c r="G368" s="619">
        <v>50.6892</v>
      </c>
      <c r="H368" s="619">
        <v>306.3999</v>
      </c>
      <c r="I368" s="619">
        <v>22.944199999999999</v>
      </c>
      <c r="J368" s="619">
        <v>433.35829999999999</v>
      </c>
      <c r="K368" s="619">
        <v>76.269199999999998</v>
      </c>
    </row>
    <row r="369" spans="1:11" ht="9" customHeight="1" x14ac:dyDescent="0.25">
      <c r="A369" s="617" t="s">
        <v>1171</v>
      </c>
      <c r="B369" s="618" t="s">
        <v>1172</v>
      </c>
      <c r="C369" s="619">
        <v>253743.95499999999</v>
      </c>
      <c r="D369" s="619">
        <v>10.149800000000001</v>
      </c>
      <c r="E369" s="619">
        <v>3.5226000000000002</v>
      </c>
      <c r="F369" s="619">
        <v>0</v>
      </c>
      <c r="G369" s="619">
        <v>10.149800000000001</v>
      </c>
      <c r="H369" s="619">
        <v>0</v>
      </c>
      <c r="I369" s="619">
        <v>0</v>
      </c>
      <c r="J369" s="619">
        <v>23.822199999999999</v>
      </c>
      <c r="K369" s="619">
        <v>13.6724</v>
      </c>
    </row>
    <row r="370" spans="1:11" ht="9" customHeight="1" x14ac:dyDescent="0.25">
      <c r="A370" s="617" t="s">
        <v>1173</v>
      </c>
      <c r="B370" s="618" t="s">
        <v>1174</v>
      </c>
      <c r="C370" s="928"/>
      <c r="D370" s="928"/>
      <c r="E370" s="928"/>
      <c r="F370" s="928"/>
      <c r="G370" s="928"/>
      <c r="H370" s="928"/>
      <c r="I370" s="928"/>
      <c r="J370" s="619">
        <v>532.06470000000002</v>
      </c>
      <c r="K370" s="619">
        <v>151.57509999999999</v>
      </c>
    </row>
    <row r="371" spans="1:11" ht="9" customHeight="1" x14ac:dyDescent="0.25">
      <c r="A371" s="617" t="s">
        <v>1175</v>
      </c>
      <c r="B371" s="618" t="s">
        <v>1176</v>
      </c>
      <c r="C371" s="619">
        <v>913647.46730000002</v>
      </c>
      <c r="D371" s="619">
        <v>39.156300000000002</v>
      </c>
      <c r="E371" s="619">
        <v>16.106300000000001</v>
      </c>
      <c r="F371" s="619">
        <v>6.5260999999999996</v>
      </c>
      <c r="G371" s="619">
        <v>58.734499999999997</v>
      </c>
      <c r="H371" s="619">
        <v>275.18180000000001</v>
      </c>
      <c r="I371" s="619">
        <v>27.6343</v>
      </c>
      <c r="J371" s="619">
        <v>423.33929999999998</v>
      </c>
      <c r="K371" s="619">
        <v>89.423000000000002</v>
      </c>
    </row>
    <row r="372" spans="1:11" ht="9" customHeight="1" x14ac:dyDescent="0.25">
      <c r="A372" s="617" t="s">
        <v>1177</v>
      </c>
      <c r="B372" s="618" t="s">
        <v>1178</v>
      </c>
      <c r="C372" s="619">
        <v>516545</v>
      </c>
      <c r="D372" s="619">
        <v>34.436300000000003</v>
      </c>
      <c r="E372" s="619">
        <v>17.263400000000001</v>
      </c>
      <c r="F372" s="619">
        <v>0</v>
      </c>
      <c r="G372" s="619">
        <v>38.740900000000003</v>
      </c>
      <c r="H372" s="619">
        <v>0</v>
      </c>
      <c r="I372" s="619">
        <v>0</v>
      </c>
      <c r="J372" s="619">
        <v>90.440600000000003</v>
      </c>
      <c r="K372" s="619">
        <v>51.6997</v>
      </c>
    </row>
    <row r="373" spans="1:11" ht="9" customHeight="1" x14ac:dyDescent="0.25">
      <c r="A373" s="617" t="s">
        <v>1179</v>
      </c>
      <c r="B373" s="618" t="s">
        <v>1180</v>
      </c>
      <c r="C373" s="619">
        <v>104432.36</v>
      </c>
      <c r="D373" s="619">
        <v>6.9622000000000002</v>
      </c>
      <c r="E373" s="619">
        <v>3.4902000000000002</v>
      </c>
      <c r="F373" s="619">
        <v>0</v>
      </c>
      <c r="G373" s="619">
        <v>7.8323999999999998</v>
      </c>
      <c r="H373" s="619">
        <v>0</v>
      </c>
      <c r="I373" s="619">
        <v>0</v>
      </c>
      <c r="J373" s="619">
        <v>18.284800000000001</v>
      </c>
      <c r="K373" s="619">
        <v>10.452400000000001</v>
      </c>
    </row>
    <row r="374" spans="1:11" ht="9" customHeight="1" x14ac:dyDescent="0.25">
      <c r="A374" s="617" t="s">
        <v>1181</v>
      </c>
      <c r="B374" s="618" t="s">
        <v>1182</v>
      </c>
      <c r="C374" s="928"/>
      <c r="D374" s="928"/>
      <c r="E374" s="928"/>
      <c r="F374" s="928"/>
      <c r="G374" s="928"/>
      <c r="H374" s="928"/>
      <c r="I374" s="928"/>
      <c r="J374" s="619">
        <v>446.06950000000001</v>
      </c>
      <c r="K374" s="619">
        <v>116.40430000000001</v>
      </c>
    </row>
    <row r="375" spans="1:11" ht="9" customHeight="1" x14ac:dyDescent="0.25">
      <c r="A375" s="617" t="s">
        <v>1183</v>
      </c>
      <c r="B375" s="618" t="s">
        <v>1184</v>
      </c>
      <c r="C375" s="619">
        <v>737034.69279999996</v>
      </c>
      <c r="D375" s="619">
        <v>31.587199999999999</v>
      </c>
      <c r="E375" s="619">
        <v>12.992900000000001</v>
      </c>
      <c r="F375" s="619">
        <v>5.2645</v>
      </c>
      <c r="G375" s="619">
        <v>47.380800000000001</v>
      </c>
      <c r="H375" s="619">
        <v>242.8075</v>
      </c>
      <c r="I375" s="619">
        <v>22.944199999999999</v>
      </c>
      <c r="J375" s="619">
        <v>362.97710000000001</v>
      </c>
      <c r="K375" s="619">
        <v>72.788799999999995</v>
      </c>
    </row>
    <row r="376" spans="1:11" ht="9" customHeight="1" x14ac:dyDescent="0.25">
      <c r="A376" s="617" t="s">
        <v>1185</v>
      </c>
      <c r="B376" s="618" t="s">
        <v>1186</v>
      </c>
      <c r="C376" s="619">
        <v>464949.67700000003</v>
      </c>
      <c r="D376" s="619">
        <v>35.090499999999999</v>
      </c>
      <c r="E376" s="619">
        <v>8.5250000000000004</v>
      </c>
      <c r="F376" s="619">
        <v>0</v>
      </c>
      <c r="G376" s="619">
        <v>39.476900000000001</v>
      </c>
      <c r="H376" s="619">
        <v>0</v>
      </c>
      <c r="I376" s="619">
        <v>0</v>
      </c>
      <c r="J376" s="619">
        <v>83.092399999999998</v>
      </c>
      <c r="K376" s="619">
        <v>43.615499999999997</v>
      </c>
    </row>
    <row r="377" spans="1:11" ht="9" customHeight="1" x14ac:dyDescent="0.25">
      <c r="A377" s="617" t="s">
        <v>1187</v>
      </c>
      <c r="B377" s="618" t="s">
        <v>1188</v>
      </c>
      <c r="C377" s="928"/>
      <c r="D377" s="928"/>
      <c r="E377" s="928"/>
      <c r="F377" s="928"/>
      <c r="G377" s="928"/>
      <c r="H377" s="928"/>
      <c r="I377" s="928"/>
      <c r="J377" s="619">
        <v>685.82399999999996</v>
      </c>
      <c r="K377" s="619">
        <v>271.63639999999998</v>
      </c>
    </row>
    <row r="378" spans="1:11" ht="18" customHeight="1" x14ac:dyDescent="0.25">
      <c r="A378" s="617" t="s">
        <v>1189</v>
      </c>
      <c r="B378" s="618" t="s">
        <v>1190</v>
      </c>
      <c r="C378" s="619">
        <v>705572.05070000002</v>
      </c>
      <c r="D378" s="619">
        <v>30.238800000000001</v>
      </c>
      <c r="E378" s="619">
        <v>12.4382</v>
      </c>
      <c r="F378" s="619">
        <v>5.0397999999999996</v>
      </c>
      <c r="G378" s="619">
        <v>45.358199999999997</v>
      </c>
      <c r="H378" s="619">
        <v>217.37049999999999</v>
      </c>
      <c r="I378" s="619">
        <v>27.6343</v>
      </c>
      <c r="J378" s="619">
        <v>338.07979999999998</v>
      </c>
      <c r="K378" s="619">
        <v>75.351100000000002</v>
      </c>
    </row>
    <row r="379" spans="1:11" ht="9" customHeight="1" x14ac:dyDescent="0.25">
      <c r="A379" s="617" t="s">
        <v>1191</v>
      </c>
      <c r="B379" s="618" t="s">
        <v>1192</v>
      </c>
      <c r="C379" s="619">
        <v>2356027.7420000001</v>
      </c>
      <c r="D379" s="619">
        <v>134.6302</v>
      </c>
      <c r="E379" s="619">
        <v>41.5334</v>
      </c>
      <c r="F379" s="619">
        <v>0</v>
      </c>
      <c r="G379" s="619">
        <v>151.4589</v>
      </c>
      <c r="H379" s="619">
        <v>0</v>
      </c>
      <c r="I379" s="619">
        <v>20.121700000000001</v>
      </c>
      <c r="J379" s="619">
        <v>347.74419999999998</v>
      </c>
      <c r="K379" s="619">
        <v>196.28530000000001</v>
      </c>
    </row>
    <row r="380" spans="1:11" ht="9" customHeight="1" x14ac:dyDescent="0.25">
      <c r="A380" s="617" t="s">
        <v>1193</v>
      </c>
      <c r="B380" s="618" t="s">
        <v>1194</v>
      </c>
      <c r="C380" s="928"/>
      <c r="D380" s="928"/>
      <c r="E380" s="928"/>
      <c r="F380" s="928"/>
      <c r="G380" s="928"/>
      <c r="H380" s="928"/>
      <c r="I380" s="928"/>
      <c r="J380" s="619">
        <v>405.4658</v>
      </c>
      <c r="K380" s="619">
        <v>122.20180000000001</v>
      </c>
    </row>
    <row r="381" spans="1:11" ht="9" customHeight="1" x14ac:dyDescent="0.25">
      <c r="A381" s="617" t="s">
        <v>1195</v>
      </c>
      <c r="B381" s="618" t="s">
        <v>1196</v>
      </c>
      <c r="C381" s="619">
        <v>645733.49970000004</v>
      </c>
      <c r="D381" s="619">
        <v>27.674299999999999</v>
      </c>
      <c r="E381" s="619">
        <v>11.3834</v>
      </c>
      <c r="F381" s="619">
        <v>4.6124000000000001</v>
      </c>
      <c r="G381" s="619">
        <v>41.511400000000002</v>
      </c>
      <c r="H381" s="619">
        <v>217.37049999999999</v>
      </c>
      <c r="I381" s="619">
        <v>27.6343</v>
      </c>
      <c r="J381" s="619">
        <v>330.18630000000002</v>
      </c>
      <c r="K381" s="619">
        <v>71.304400000000001</v>
      </c>
    </row>
    <row r="382" spans="1:11" ht="9" customHeight="1" x14ac:dyDescent="0.25">
      <c r="A382" s="617" t="s">
        <v>1197</v>
      </c>
      <c r="B382" s="618" t="s">
        <v>1198</v>
      </c>
      <c r="C382" s="619">
        <v>37094.584499999997</v>
      </c>
      <c r="D382" s="619">
        <v>2.5581999999999998</v>
      </c>
      <c r="E382" s="619">
        <v>0.67079999999999995</v>
      </c>
      <c r="F382" s="619">
        <v>0</v>
      </c>
      <c r="G382" s="619">
        <v>2.5581999999999998</v>
      </c>
      <c r="H382" s="619">
        <v>0</v>
      </c>
      <c r="I382" s="619">
        <v>0</v>
      </c>
      <c r="J382" s="619">
        <v>5.7872000000000003</v>
      </c>
      <c r="K382" s="619">
        <v>3.2290000000000001</v>
      </c>
    </row>
    <row r="383" spans="1:11" ht="9" customHeight="1" x14ac:dyDescent="0.25">
      <c r="A383" s="617" t="s">
        <v>1199</v>
      </c>
      <c r="B383" s="618" t="s">
        <v>1200</v>
      </c>
      <c r="C383" s="619">
        <v>316446.5</v>
      </c>
      <c r="D383" s="619">
        <v>21.823899999999998</v>
      </c>
      <c r="E383" s="619">
        <v>5.7228000000000003</v>
      </c>
      <c r="F383" s="619">
        <v>0</v>
      </c>
      <c r="G383" s="619">
        <v>21.823899999999998</v>
      </c>
      <c r="H383" s="619">
        <v>0</v>
      </c>
      <c r="I383" s="619">
        <v>20.121700000000001</v>
      </c>
      <c r="J383" s="619">
        <v>69.4923</v>
      </c>
      <c r="K383" s="619">
        <v>47.668399999999998</v>
      </c>
    </row>
    <row r="384" spans="1:11" ht="9" customHeight="1" x14ac:dyDescent="0.25">
      <c r="A384" s="617" t="s">
        <v>1201</v>
      </c>
      <c r="B384" s="618" t="s">
        <v>1202</v>
      </c>
      <c r="C384" s="928"/>
      <c r="D384" s="928"/>
      <c r="E384" s="928"/>
      <c r="F384" s="928"/>
      <c r="G384" s="928"/>
      <c r="H384" s="928"/>
      <c r="I384" s="928"/>
      <c r="J384" s="619">
        <v>346.197</v>
      </c>
      <c r="K384" s="619">
        <v>131.4898</v>
      </c>
    </row>
    <row r="385" spans="1:11" ht="18" customHeight="1" x14ac:dyDescent="0.25">
      <c r="A385" s="617" t="s">
        <v>1203</v>
      </c>
      <c r="B385" s="618" t="s">
        <v>1204</v>
      </c>
      <c r="C385" s="619">
        <v>494831.02909999999</v>
      </c>
      <c r="D385" s="619">
        <v>21.207000000000001</v>
      </c>
      <c r="E385" s="619">
        <v>8.7232000000000003</v>
      </c>
      <c r="F385" s="619">
        <v>3.5345</v>
      </c>
      <c r="G385" s="619">
        <v>31.810600000000001</v>
      </c>
      <c r="H385" s="619">
        <v>157.2467</v>
      </c>
      <c r="I385" s="619">
        <v>22.944199999999999</v>
      </c>
      <c r="J385" s="619">
        <v>245.46619999999999</v>
      </c>
      <c r="K385" s="619">
        <v>56.408900000000003</v>
      </c>
    </row>
    <row r="386" spans="1:11" ht="9" customHeight="1" x14ac:dyDescent="0.25">
      <c r="A386" s="617" t="s">
        <v>1205</v>
      </c>
      <c r="B386" s="618" t="s">
        <v>1206</v>
      </c>
      <c r="C386" s="619">
        <v>17692.919999999998</v>
      </c>
      <c r="D386" s="619">
        <v>1.2202</v>
      </c>
      <c r="E386" s="619">
        <v>0.32</v>
      </c>
      <c r="F386" s="619">
        <v>0</v>
      </c>
      <c r="G386" s="619">
        <v>1.2202</v>
      </c>
      <c r="H386" s="619">
        <v>0</v>
      </c>
      <c r="I386" s="619">
        <v>0</v>
      </c>
      <c r="J386" s="619">
        <v>2.7604000000000002</v>
      </c>
      <c r="K386" s="619">
        <v>1.5402</v>
      </c>
    </row>
    <row r="387" spans="1:11" ht="9" customHeight="1" x14ac:dyDescent="0.25">
      <c r="A387" s="617" t="s">
        <v>1207</v>
      </c>
      <c r="B387" s="618" t="s">
        <v>1208</v>
      </c>
      <c r="C387" s="619">
        <v>195222.8173</v>
      </c>
      <c r="D387" s="619">
        <v>13.4636</v>
      </c>
      <c r="E387" s="619">
        <v>3.5305</v>
      </c>
      <c r="F387" s="619">
        <v>0</v>
      </c>
      <c r="G387" s="619">
        <v>13.4636</v>
      </c>
      <c r="H387" s="619">
        <v>0</v>
      </c>
      <c r="I387" s="619">
        <v>20.121700000000001</v>
      </c>
      <c r="J387" s="619">
        <v>50.5794</v>
      </c>
      <c r="K387" s="619">
        <v>37.1158</v>
      </c>
    </row>
    <row r="388" spans="1:11" ht="9" customHeight="1" x14ac:dyDescent="0.25">
      <c r="A388" s="617" t="s">
        <v>1209</v>
      </c>
      <c r="B388" s="618" t="s">
        <v>1210</v>
      </c>
      <c r="C388" s="619">
        <v>205615</v>
      </c>
      <c r="D388" s="619">
        <v>11.6515</v>
      </c>
      <c r="E388" s="619">
        <v>4.6516999999999999</v>
      </c>
      <c r="F388" s="619">
        <v>0</v>
      </c>
      <c r="G388" s="619">
        <v>10.966100000000001</v>
      </c>
      <c r="H388" s="619">
        <v>0</v>
      </c>
      <c r="I388" s="619">
        <v>20.121700000000001</v>
      </c>
      <c r="J388" s="619">
        <v>47.390999999999998</v>
      </c>
      <c r="K388" s="619">
        <v>36.424900000000001</v>
      </c>
    </row>
    <row r="389" spans="1:11" ht="9" customHeight="1" x14ac:dyDescent="0.25">
      <c r="A389" s="617" t="s">
        <v>1211</v>
      </c>
      <c r="B389" s="618" t="s">
        <v>1212</v>
      </c>
      <c r="C389" s="928"/>
      <c r="D389" s="928"/>
      <c r="E389" s="928"/>
      <c r="F389" s="928"/>
      <c r="G389" s="928"/>
      <c r="H389" s="928"/>
      <c r="I389" s="928"/>
      <c r="J389" s="619">
        <v>220.36359999999999</v>
      </c>
      <c r="K389" s="619">
        <v>58.507100000000001</v>
      </c>
    </row>
    <row r="390" spans="1:11" ht="9" customHeight="1" x14ac:dyDescent="0.25">
      <c r="A390" s="617" t="s">
        <v>1213</v>
      </c>
      <c r="B390" s="618" t="s">
        <v>1214</v>
      </c>
      <c r="C390" s="619">
        <v>382206.15480000002</v>
      </c>
      <c r="D390" s="619">
        <v>16.380299999999998</v>
      </c>
      <c r="E390" s="619">
        <v>6.7377000000000002</v>
      </c>
      <c r="F390" s="619">
        <v>2.73</v>
      </c>
      <c r="G390" s="619">
        <v>24.570399999999999</v>
      </c>
      <c r="H390" s="619">
        <v>132.96600000000001</v>
      </c>
      <c r="I390" s="619">
        <v>27.6343</v>
      </c>
      <c r="J390" s="619">
        <v>211.0187</v>
      </c>
      <c r="K390" s="619">
        <v>53.482300000000002</v>
      </c>
    </row>
    <row r="391" spans="1:11" ht="9" customHeight="1" x14ac:dyDescent="0.25">
      <c r="A391" s="617" t="s">
        <v>1215</v>
      </c>
      <c r="B391" s="618" t="s">
        <v>1216</v>
      </c>
      <c r="C391" s="619">
        <v>67201</v>
      </c>
      <c r="D391" s="619">
        <v>3.8401000000000001</v>
      </c>
      <c r="E391" s="619">
        <v>1.1847000000000001</v>
      </c>
      <c r="F391" s="619">
        <v>0</v>
      </c>
      <c r="G391" s="619">
        <v>4.3201000000000001</v>
      </c>
      <c r="H391" s="619">
        <v>0</v>
      </c>
      <c r="I391" s="619">
        <v>0</v>
      </c>
      <c r="J391" s="619">
        <v>9.3449000000000009</v>
      </c>
      <c r="K391" s="619">
        <v>5.0247999999999999</v>
      </c>
    </row>
    <row r="392" spans="1:11" ht="9" customHeight="1" x14ac:dyDescent="0.25">
      <c r="A392" s="617" t="s">
        <v>1217</v>
      </c>
      <c r="B392" s="618" t="s">
        <v>1218</v>
      </c>
      <c r="C392" s="928"/>
      <c r="D392" s="928"/>
      <c r="E392" s="928"/>
      <c r="F392" s="928"/>
      <c r="G392" s="928"/>
      <c r="H392" s="928"/>
      <c r="I392" s="928"/>
      <c r="J392" s="619">
        <v>292.17329999999998</v>
      </c>
      <c r="K392" s="619">
        <v>92.899699999999996</v>
      </c>
    </row>
    <row r="393" spans="1:11" ht="9" customHeight="1" x14ac:dyDescent="0.25">
      <c r="A393" s="617" t="s">
        <v>1219</v>
      </c>
      <c r="B393" s="618" t="s">
        <v>1220</v>
      </c>
      <c r="C393" s="619">
        <v>523362.0097</v>
      </c>
      <c r="D393" s="619">
        <v>22.4298</v>
      </c>
      <c r="E393" s="619">
        <v>9.2261000000000006</v>
      </c>
      <c r="F393" s="619">
        <v>3.7383000000000002</v>
      </c>
      <c r="G393" s="619">
        <v>33.6447</v>
      </c>
      <c r="H393" s="619">
        <v>157.2467</v>
      </c>
      <c r="I393" s="619">
        <v>27.6343</v>
      </c>
      <c r="J393" s="619">
        <v>253.91990000000001</v>
      </c>
      <c r="K393" s="619">
        <v>63.028500000000001</v>
      </c>
    </row>
    <row r="394" spans="1:11" ht="9" customHeight="1" x14ac:dyDescent="0.25">
      <c r="A394" s="617" t="s">
        <v>1221</v>
      </c>
      <c r="B394" s="618" t="s">
        <v>1222</v>
      </c>
      <c r="C394" s="619">
        <v>130390</v>
      </c>
      <c r="D394" s="619">
        <v>7.4508999999999999</v>
      </c>
      <c r="E394" s="619">
        <v>2.2986</v>
      </c>
      <c r="F394" s="619">
        <v>0</v>
      </c>
      <c r="G394" s="619">
        <v>8.3821999999999992</v>
      </c>
      <c r="H394" s="619">
        <v>0</v>
      </c>
      <c r="I394" s="619">
        <v>20.121700000000001</v>
      </c>
      <c r="J394" s="619">
        <v>38.253399999999999</v>
      </c>
      <c r="K394" s="619">
        <v>29.871200000000002</v>
      </c>
    </row>
    <row r="395" spans="1:11" ht="9" customHeight="1" x14ac:dyDescent="0.25">
      <c r="A395" s="617" t="s">
        <v>1223</v>
      </c>
      <c r="B395" s="618" t="s">
        <v>1224</v>
      </c>
      <c r="C395" s="928"/>
      <c r="D395" s="928"/>
      <c r="E395" s="928"/>
      <c r="F395" s="928"/>
      <c r="G395" s="928"/>
      <c r="H395" s="928"/>
      <c r="I395" s="928"/>
      <c r="J395" s="619">
        <v>494.32769999999999</v>
      </c>
      <c r="K395" s="619">
        <v>136.03280000000001</v>
      </c>
    </row>
    <row r="396" spans="1:11" ht="9" customHeight="1" x14ac:dyDescent="0.25">
      <c r="A396" s="617" t="s">
        <v>1225</v>
      </c>
      <c r="B396" s="618" t="s">
        <v>1226</v>
      </c>
      <c r="C396" s="619">
        <v>798498.31960000005</v>
      </c>
      <c r="D396" s="619">
        <v>34.221400000000003</v>
      </c>
      <c r="E396" s="619">
        <v>14.0764</v>
      </c>
      <c r="F396" s="619">
        <v>5.7035999999999998</v>
      </c>
      <c r="G396" s="619">
        <v>51.332000000000001</v>
      </c>
      <c r="H396" s="619">
        <v>277.49419999999998</v>
      </c>
      <c r="I396" s="619">
        <v>27.6343</v>
      </c>
      <c r="J396" s="619">
        <v>410.46190000000001</v>
      </c>
      <c r="K396" s="619">
        <v>81.6357</v>
      </c>
    </row>
    <row r="397" spans="1:11" ht="9" customHeight="1" x14ac:dyDescent="0.25">
      <c r="A397" s="617" t="s">
        <v>1227</v>
      </c>
      <c r="B397" s="618" t="s">
        <v>1228</v>
      </c>
      <c r="C397" s="619">
        <v>458402.34379999997</v>
      </c>
      <c r="D397" s="619">
        <v>26.194400000000002</v>
      </c>
      <c r="E397" s="619">
        <v>8.0809999999999995</v>
      </c>
      <c r="F397" s="619">
        <v>0</v>
      </c>
      <c r="G397" s="619">
        <v>29.468699999999998</v>
      </c>
      <c r="H397" s="619">
        <v>0</v>
      </c>
      <c r="I397" s="619">
        <v>20.121700000000001</v>
      </c>
      <c r="J397" s="619">
        <v>83.865799999999993</v>
      </c>
      <c r="K397" s="619">
        <v>54.397100000000002</v>
      </c>
    </row>
    <row r="398" spans="1:11" ht="9" customHeight="1" x14ac:dyDescent="0.25">
      <c r="A398" s="617" t="s">
        <v>1229</v>
      </c>
      <c r="B398" s="618" t="s">
        <v>1230</v>
      </c>
      <c r="C398" s="928"/>
      <c r="D398" s="928"/>
      <c r="E398" s="928"/>
      <c r="F398" s="928"/>
      <c r="G398" s="928"/>
      <c r="H398" s="928"/>
      <c r="I398" s="928"/>
      <c r="J398" s="619">
        <v>273.54730000000001</v>
      </c>
      <c r="K398" s="619">
        <v>59.698700000000002</v>
      </c>
    </row>
    <row r="399" spans="1:11" ht="9" customHeight="1" x14ac:dyDescent="0.25">
      <c r="A399" s="617" t="s">
        <v>1231</v>
      </c>
      <c r="B399" s="618" t="s">
        <v>1232</v>
      </c>
      <c r="C399" s="619">
        <v>543476.12170000002</v>
      </c>
      <c r="D399" s="619">
        <v>23.291799999999999</v>
      </c>
      <c r="E399" s="619">
        <v>9.5807000000000002</v>
      </c>
      <c r="F399" s="619">
        <v>3.8820000000000001</v>
      </c>
      <c r="G399" s="619">
        <v>34.937800000000003</v>
      </c>
      <c r="H399" s="619">
        <v>178.91079999999999</v>
      </c>
      <c r="I399" s="619">
        <v>22.944199999999999</v>
      </c>
      <c r="J399" s="619">
        <v>273.54730000000001</v>
      </c>
      <c r="K399" s="619">
        <v>59.698700000000002</v>
      </c>
    </row>
    <row r="400" spans="1:11" ht="9" customHeight="1" x14ac:dyDescent="0.25">
      <c r="A400" s="617" t="s">
        <v>1233</v>
      </c>
      <c r="B400" s="618" t="s">
        <v>1234</v>
      </c>
      <c r="C400" s="928"/>
      <c r="D400" s="928"/>
      <c r="E400" s="928"/>
      <c r="F400" s="928"/>
      <c r="G400" s="928"/>
      <c r="H400" s="928"/>
      <c r="I400" s="928"/>
      <c r="J400" s="619">
        <v>5.3994999999999997</v>
      </c>
      <c r="K400" s="619">
        <v>3.6962999999999999</v>
      </c>
    </row>
    <row r="401" spans="1:11" ht="9" customHeight="1" x14ac:dyDescent="0.25">
      <c r="A401" s="617" t="s">
        <v>1235</v>
      </c>
      <c r="B401" s="618" t="s">
        <v>1236</v>
      </c>
      <c r="C401" s="619">
        <v>34064.636299999998</v>
      </c>
      <c r="D401" s="619">
        <v>3.0657999999999999</v>
      </c>
      <c r="E401" s="619">
        <v>0.63049999999999995</v>
      </c>
      <c r="F401" s="619">
        <v>0</v>
      </c>
      <c r="G401" s="619">
        <v>1.7032</v>
      </c>
      <c r="H401" s="619">
        <v>0</v>
      </c>
      <c r="I401" s="619">
        <v>0</v>
      </c>
      <c r="J401" s="619">
        <v>5.3994999999999997</v>
      </c>
      <c r="K401" s="619">
        <v>3.6962999999999999</v>
      </c>
    </row>
    <row r="402" spans="1:11" ht="9" customHeight="1" x14ac:dyDescent="0.25">
      <c r="A402" s="617" t="s">
        <v>1237</v>
      </c>
      <c r="B402" s="618" t="s">
        <v>1238</v>
      </c>
      <c r="C402" s="928"/>
      <c r="D402" s="928"/>
      <c r="E402" s="928"/>
      <c r="F402" s="928"/>
      <c r="G402" s="928"/>
      <c r="H402" s="928"/>
      <c r="I402" s="928"/>
      <c r="J402" s="619">
        <v>49.130299999999998</v>
      </c>
      <c r="K402" s="619">
        <v>26.855699999999999</v>
      </c>
    </row>
    <row r="403" spans="1:11" ht="9" customHeight="1" x14ac:dyDescent="0.25">
      <c r="A403" s="617" t="s">
        <v>1239</v>
      </c>
      <c r="B403" s="618" t="s">
        <v>1240</v>
      </c>
      <c r="C403" s="619">
        <v>247495.6771</v>
      </c>
      <c r="D403" s="619">
        <v>22.2746</v>
      </c>
      <c r="E403" s="619">
        <v>4.5811000000000002</v>
      </c>
      <c r="F403" s="619">
        <v>0</v>
      </c>
      <c r="G403" s="619">
        <v>22.2746</v>
      </c>
      <c r="H403" s="619">
        <v>0</v>
      </c>
      <c r="I403" s="619">
        <v>0</v>
      </c>
      <c r="J403" s="619">
        <v>49.130299999999998</v>
      </c>
      <c r="K403" s="619">
        <v>26.855699999999999</v>
      </c>
    </row>
    <row r="404" spans="1:11" ht="9" customHeight="1" x14ac:dyDescent="0.25">
      <c r="A404" s="617" t="s">
        <v>1241</v>
      </c>
      <c r="B404" s="618" t="s">
        <v>1242</v>
      </c>
      <c r="C404" s="928"/>
      <c r="D404" s="928"/>
      <c r="E404" s="928"/>
      <c r="F404" s="928"/>
      <c r="G404" s="928"/>
      <c r="H404" s="928"/>
      <c r="I404" s="928"/>
      <c r="J404" s="619">
        <v>284.5849</v>
      </c>
      <c r="K404" s="619">
        <v>75.075299999999999</v>
      </c>
    </row>
    <row r="405" spans="1:11" ht="9" customHeight="1" x14ac:dyDescent="0.25">
      <c r="A405" s="617" t="s">
        <v>1243</v>
      </c>
      <c r="B405" s="618" t="s">
        <v>1244</v>
      </c>
      <c r="C405" s="619">
        <v>701748.09279999998</v>
      </c>
      <c r="D405" s="619">
        <v>30.0749</v>
      </c>
      <c r="E405" s="619">
        <v>12.370799999999999</v>
      </c>
      <c r="F405" s="619">
        <v>5.0125000000000002</v>
      </c>
      <c r="G405" s="619">
        <v>45.112400000000001</v>
      </c>
      <c r="H405" s="619">
        <v>160.1677</v>
      </c>
      <c r="I405" s="619">
        <v>22.944199999999999</v>
      </c>
      <c r="J405" s="619">
        <v>275.6825</v>
      </c>
      <c r="K405" s="619">
        <v>70.4024</v>
      </c>
    </row>
    <row r="406" spans="1:11" ht="9" customHeight="1" x14ac:dyDescent="0.25">
      <c r="A406" s="617" t="s">
        <v>1245</v>
      </c>
      <c r="B406" s="618" t="s">
        <v>1246</v>
      </c>
      <c r="C406" s="619">
        <v>49813.995000000003</v>
      </c>
      <c r="D406" s="619">
        <v>3.7595000000000001</v>
      </c>
      <c r="E406" s="619">
        <v>0.91339999999999999</v>
      </c>
      <c r="F406" s="619">
        <v>0</v>
      </c>
      <c r="G406" s="619">
        <v>4.2294999999999998</v>
      </c>
      <c r="H406" s="619">
        <v>0</v>
      </c>
      <c r="I406" s="619">
        <v>0</v>
      </c>
      <c r="J406" s="619">
        <v>8.9024000000000001</v>
      </c>
      <c r="K406" s="619">
        <v>4.6729000000000003</v>
      </c>
    </row>
    <row r="407" spans="1:11" ht="9" customHeight="1" x14ac:dyDescent="0.25">
      <c r="A407" s="617" t="s">
        <v>1247</v>
      </c>
      <c r="B407" s="618" t="s">
        <v>1248</v>
      </c>
      <c r="C407" s="928"/>
      <c r="D407" s="928"/>
      <c r="E407" s="928"/>
      <c r="F407" s="928"/>
      <c r="G407" s="928"/>
      <c r="H407" s="928"/>
      <c r="I407" s="928"/>
      <c r="J407" s="619">
        <v>476.3913</v>
      </c>
      <c r="K407" s="619">
        <v>100.27979999999999</v>
      </c>
    </row>
    <row r="408" spans="1:11" ht="9" customHeight="1" x14ac:dyDescent="0.25">
      <c r="A408" s="617" t="s">
        <v>1169</v>
      </c>
      <c r="B408" s="618" t="s">
        <v>1170</v>
      </c>
      <c r="C408" s="619">
        <v>788497.99430000002</v>
      </c>
      <c r="D408" s="619">
        <v>33.7928</v>
      </c>
      <c r="E408" s="619">
        <v>13.9001</v>
      </c>
      <c r="F408" s="619">
        <v>5.6321000000000003</v>
      </c>
      <c r="G408" s="619">
        <v>50.6892</v>
      </c>
      <c r="H408" s="619">
        <v>306.3999</v>
      </c>
      <c r="I408" s="619">
        <v>22.944199999999999</v>
      </c>
      <c r="J408" s="619">
        <v>433.35829999999999</v>
      </c>
      <c r="K408" s="619">
        <v>76.269199999999998</v>
      </c>
    </row>
    <row r="409" spans="1:11" ht="9" customHeight="1" x14ac:dyDescent="0.25">
      <c r="A409" s="617" t="s">
        <v>1249</v>
      </c>
      <c r="B409" s="618" t="s">
        <v>1250</v>
      </c>
      <c r="C409" s="619">
        <v>275825</v>
      </c>
      <c r="D409" s="619">
        <v>19.022400000000001</v>
      </c>
      <c r="E409" s="619">
        <v>4.9882</v>
      </c>
      <c r="F409" s="619">
        <v>0</v>
      </c>
      <c r="G409" s="619">
        <v>19.022400000000001</v>
      </c>
      <c r="H409" s="619">
        <v>0</v>
      </c>
      <c r="I409" s="619">
        <v>0</v>
      </c>
      <c r="J409" s="619">
        <v>43.033000000000001</v>
      </c>
      <c r="K409" s="619">
        <v>24.0106</v>
      </c>
    </row>
    <row r="410" spans="1:11" ht="9" customHeight="1" x14ac:dyDescent="0.25">
      <c r="A410" s="617" t="s">
        <v>1251</v>
      </c>
      <c r="B410" s="618" t="s">
        <v>1252</v>
      </c>
      <c r="C410" s="928"/>
      <c r="D410" s="928"/>
      <c r="E410" s="928"/>
      <c r="F410" s="928"/>
      <c r="G410" s="928"/>
      <c r="H410" s="928"/>
      <c r="I410" s="928"/>
      <c r="J410" s="619">
        <v>578.49879999999996</v>
      </c>
      <c r="K410" s="619">
        <v>178.11869999999999</v>
      </c>
    </row>
    <row r="411" spans="1:11" ht="9" customHeight="1" x14ac:dyDescent="0.25">
      <c r="A411" s="617" t="s">
        <v>1175</v>
      </c>
      <c r="B411" s="618" t="s">
        <v>1176</v>
      </c>
      <c r="C411" s="619">
        <v>913647.46730000002</v>
      </c>
      <c r="D411" s="619">
        <v>39.156300000000002</v>
      </c>
      <c r="E411" s="619">
        <v>16.106300000000001</v>
      </c>
      <c r="F411" s="619">
        <v>6.5260999999999996</v>
      </c>
      <c r="G411" s="619">
        <v>58.734499999999997</v>
      </c>
      <c r="H411" s="619">
        <v>275.18180000000001</v>
      </c>
      <c r="I411" s="619">
        <v>27.6343</v>
      </c>
      <c r="J411" s="619">
        <v>423.33929999999998</v>
      </c>
      <c r="K411" s="619">
        <v>89.423000000000002</v>
      </c>
    </row>
    <row r="412" spans="1:11" ht="9" customHeight="1" x14ac:dyDescent="0.25">
      <c r="A412" s="617" t="s">
        <v>1253</v>
      </c>
      <c r="B412" s="618" t="s">
        <v>1254</v>
      </c>
      <c r="C412" s="619">
        <v>303051.7058</v>
      </c>
      <c r="D412" s="619">
        <v>20.203399999999998</v>
      </c>
      <c r="E412" s="619">
        <v>10.1282</v>
      </c>
      <c r="F412" s="619">
        <v>0</v>
      </c>
      <c r="G412" s="619">
        <v>22.728899999999999</v>
      </c>
      <c r="H412" s="619">
        <v>0</v>
      </c>
      <c r="I412" s="619">
        <v>0</v>
      </c>
      <c r="J412" s="619">
        <v>53.060499999999998</v>
      </c>
      <c r="K412" s="619">
        <v>30.331600000000002</v>
      </c>
    </row>
    <row r="413" spans="1:11" ht="9" customHeight="1" x14ac:dyDescent="0.25">
      <c r="A413" s="617" t="s">
        <v>1255</v>
      </c>
      <c r="B413" s="618" t="s">
        <v>1256</v>
      </c>
      <c r="C413" s="619">
        <v>583131.56220000004</v>
      </c>
      <c r="D413" s="619">
        <v>38.875399999999999</v>
      </c>
      <c r="E413" s="619">
        <v>19.488700000000001</v>
      </c>
      <c r="F413" s="619">
        <v>0</v>
      </c>
      <c r="G413" s="619">
        <v>43.734900000000003</v>
      </c>
      <c r="H413" s="619">
        <v>0</v>
      </c>
      <c r="I413" s="619">
        <v>0</v>
      </c>
      <c r="J413" s="619">
        <v>102.099</v>
      </c>
      <c r="K413" s="619">
        <v>58.364100000000001</v>
      </c>
    </row>
    <row r="414" spans="1:11" ht="9" customHeight="1" x14ac:dyDescent="0.25">
      <c r="A414" s="617" t="s">
        <v>1257</v>
      </c>
      <c r="B414" s="618" t="s">
        <v>1258</v>
      </c>
      <c r="C414" s="928"/>
      <c r="D414" s="928"/>
      <c r="E414" s="928"/>
      <c r="F414" s="928"/>
      <c r="G414" s="928"/>
      <c r="H414" s="928"/>
      <c r="I414" s="928"/>
      <c r="J414" s="619">
        <v>677.03309999999999</v>
      </c>
      <c r="K414" s="619">
        <v>233.25659999999999</v>
      </c>
    </row>
    <row r="415" spans="1:11" ht="9" customHeight="1" x14ac:dyDescent="0.25">
      <c r="A415" s="617" t="s">
        <v>1253</v>
      </c>
      <c r="B415" s="618" t="s">
        <v>1254</v>
      </c>
      <c r="C415" s="619">
        <v>303051.7058</v>
      </c>
      <c r="D415" s="619">
        <v>20.203399999999998</v>
      </c>
      <c r="E415" s="619">
        <v>10.1282</v>
      </c>
      <c r="F415" s="619">
        <v>0</v>
      </c>
      <c r="G415" s="619">
        <v>22.728899999999999</v>
      </c>
      <c r="H415" s="619">
        <v>0</v>
      </c>
      <c r="I415" s="619">
        <v>0</v>
      </c>
      <c r="J415" s="619">
        <v>53.060499999999998</v>
      </c>
      <c r="K415" s="619">
        <v>30.331600000000002</v>
      </c>
    </row>
    <row r="416" spans="1:11" ht="9" customHeight="1" x14ac:dyDescent="0.25">
      <c r="A416" s="617" t="s">
        <v>1259</v>
      </c>
      <c r="B416" s="618" t="s">
        <v>1260</v>
      </c>
      <c r="C416" s="619">
        <v>1066437.8289999999</v>
      </c>
      <c r="D416" s="619">
        <v>45.704500000000003</v>
      </c>
      <c r="E416" s="619">
        <v>18.799800000000001</v>
      </c>
      <c r="F416" s="619">
        <v>7.6173999999999999</v>
      </c>
      <c r="G416" s="619">
        <v>68.556700000000006</v>
      </c>
      <c r="H416" s="619">
        <v>275.18180000000001</v>
      </c>
      <c r="I416" s="619">
        <v>27.6343</v>
      </c>
      <c r="J416" s="619">
        <v>443.49450000000002</v>
      </c>
      <c r="K416" s="619">
        <v>99.756</v>
      </c>
    </row>
    <row r="417" spans="1:11" ht="9" customHeight="1" x14ac:dyDescent="0.25">
      <c r="A417" s="617" t="s">
        <v>1261</v>
      </c>
      <c r="B417" s="618" t="s">
        <v>1262</v>
      </c>
      <c r="C417" s="619">
        <v>447656.5528</v>
      </c>
      <c r="D417" s="619">
        <v>29.843800000000002</v>
      </c>
      <c r="E417" s="619">
        <v>14.9611</v>
      </c>
      <c r="F417" s="619">
        <v>0</v>
      </c>
      <c r="G417" s="619">
        <v>33.574199999999998</v>
      </c>
      <c r="H417" s="619">
        <v>0</v>
      </c>
      <c r="I417" s="619">
        <v>0</v>
      </c>
      <c r="J417" s="619">
        <v>78.379099999999994</v>
      </c>
      <c r="K417" s="619">
        <v>44.804900000000004</v>
      </c>
    </row>
    <row r="418" spans="1:11" ht="9" customHeight="1" x14ac:dyDescent="0.25">
      <c r="A418" s="617" t="s">
        <v>1255</v>
      </c>
      <c r="B418" s="618" t="s">
        <v>1256</v>
      </c>
      <c r="C418" s="619">
        <v>583131.56220000004</v>
      </c>
      <c r="D418" s="619">
        <v>38.875399999999999</v>
      </c>
      <c r="E418" s="619">
        <v>19.488700000000001</v>
      </c>
      <c r="F418" s="619">
        <v>0</v>
      </c>
      <c r="G418" s="619">
        <v>43.734900000000003</v>
      </c>
      <c r="H418" s="619">
        <v>0</v>
      </c>
      <c r="I418" s="619">
        <v>0</v>
      </c>
      <c r="J418" s="619">
        <v>102.099</v>
      </c>
      <c r="K418" s="619">
        <v>58.364100000000001</v>
      </c>
    </row>
    <row r="419" spans="1:11" ht="9" customHeight="1" x14ac:dyDescent="0.25">
      <c r="A419" s="617" t="s">
        <v>1263</v>
      </c>
      <c r="B419" s="618" t="s">
        <v>1264</v>
      </c>
      <c r="C419" s="928"/>
      <c r="D419" s="928"/>
      <c r="E419" s="928"/>
      <c r="F419" s="928"/>
      <c r="G419" s="928"/>
      <c r="H419" s="928"/>
      <c r="I419" s="928"/>
      <c r="J419" s="619">
        <v>1301.0117</v>
      </c>
      <c r="K419" s="619">
        <v>504.84719999999999</v>
      </c>
    </row>
    <row r="420" spans="1:11" ht="9" customHeight="1" x14ac:dyDescent="0.25">
      <c r="A420" s="617" t="s">
        <v>1265</v>
      </c>
      <c r="B420" s="618" t="s">
        <v>1266</v>
      </c>
      <c r="C420" s="619">
        <v>4681360.2869999995</v>
      </c>
      <c r="D420" s="619">
        <v>200.62970000000001</v>
      </c>
      <c r="E420" s="619">
        <v>82.525700000000001</v>
      </c>
      <c r="F420" s="619">
        <v>33.438299999999998</v>
      </c>
      <c r="G420" s="619">
        <v>300.94459999999998</v>
      </c>
      <c r="H420" s="619">
        <v>374.86059999999998</v>
      </c>
      <c r="I420" s="619">
        <v>27.6343</v>
      </c>
      <c r="J420" s="619">
        <v>1020.0332</v>
      </c>
      <c r="K420" s="619">
        <v>344.22800000000001</v>
      </c>
    </row>
    <row r="421" spans="1:11" ht="9" customHeight="1" x14ac:dyDescent="0.25">
      <c r="A421" s="617" t="s">
        <v>1253</v>
      </c>
      <c r="B421" s="618" t="s">
        <v>1254</v>
      </c>
      <c r="C421" s="619">
        <v>303051.7058</v>
      </c>
      <c r="D421" s="619">
        <v>20.203399999999998</v>
      </c>
      <c r="E421" s="619">
        <v>10.1282</v>
      </c>
      <c r="F421" s="619">
        <v>0</v>
      </c>
      <c r="G421" s="619">
        <v>22.728899999999999</v>
      </c>
      <c r="H421" s="619">
        <v>0</v>
      </c>
      <c r="I421" s="619">
        <v>0</v>
      </c>
      <c r="J421" s="619">
        <v>53.060499999999998</v>
      </c>
      <c r="K421" s="619">
        <v>30.331600000000002</v>
      </c>
    </row>
    <row r="422" spans="1:11" ht="9" customHeight="1" x14ac:dyDescent="0.25">
      <c r="A422" s="617" t="s">
        <v>1267</v>
      </c>
      <c r="B422" s="618" t="s">
        <v>1268</v>
      </c>
      <c r="C422" s="619">
        <v>718606.57160000002</v>
      </c>
      <c r="D422" s="619">
        <v>47.9071</v>
      </c>
      <c r="E422" s="619">
        <v>24.016400000000001</v>
      </c>
      <c r="F422" s="619">
        <v>0</v>
      </c>
      <c r="G422" s="619">
        <v>53.895499999999998</v>
      </c>
      <c r="H422" s="619">
        <v>0</v>
      </c>
      <c r="I422" s="619">
        <v>0</v>
      </c>
      <c r="J422" s="619">
        <v>125.819</v>
      </c>
      <c r="K422" s="619">
        <v>71.923500000000004</v>
      </c>
    </row>
    <row r="423" spans="1:11" ht="9" customHeight="1" x14ac:dyDescent="0.25">
      <c r="A423" s="617" t="s">
        <v>1255</v>
      </c>
      <c r="B423" s="618" t="s">
        <v>1256</v>
      </c>
      <c r="C423" s="619">
        <v>583131.56220000004</v>
      </c>
      <c r="D423" s="619">
        <v>38.875399999999999</v>
      </c>
      <c r="E423" s="619">
        <v>19.488700000000001</v>
      </c>
      <c r="F423" s="619">
        <v>0</v>
      </c>
      <c r="G423" s="619">
        <v>43.734900000000003</v>
      </c>
      <c r="H423" s="619">
        <v>0</v>
      </c>
      <c r="I423" s="619">
        <v>0</v>
      </c>
      <c r="J423" s="619">
        <v>102.099</v>
      </c>
      <c r="K423" s="619">
        <v>58.364100000000001</v>
      </c>
    </row>
    <row r="424" spans="1:11" ht="18" customHeight="1" x14ac:dyDescent="0.25">
      <c r="A424" s="617" t="s">
        <v>1269</v>
      </c>
      <c r="B424" s="618" t="s">
        <v>1270</v>
      </c>
      <c r="C424" s="928"/>
      <c r="D424" s="928"/>
      <c r="E424" s="928"/>
      <c r="F424" s="928"/>
      <c r="G424" s="928"/>
      <c r="H424" s="928"/>
      <c r="I424" s="928"/>
      <c r="J424" s="619">
        <v>369.4271</v>
      </c>
      <c r="K424" s="619">
        <v>94.358000000000004</v>
      </c>
    </row>
    <row r="425" spans="1:11" ht="18" customHeight="1" x14ac:dyDescent="0.25">
      <c r="A425" s="617" t="s">
        <v>1271</v>
      </c>
      <c r="B425" s="618" t="s">
        <v>1272</v>
      </c>
      <c r="C425" s="619">
        <v>404680.61430000002</v>
      </c>
      <c r="D425" s="619">
        <v>16.187200000000001</v>
      </c>
      <c r="E425" s="619">
        <v>6.8663999999999996</v>
      </c>
      <c r="F425" s="619">
        <v>0</v>
      </c>
      <c r="G425" s="619">
        <v>16.187200000000001</v>
      </c>
      <c r="H425" s="619">
        <v>0</v>
      </c>
      <c r="I425" s="619">
        <v>0</v>
      </c>
      <c r="J425" s="619">
        <v>39.2408</v>
      </c>
      <c r="K425" s="619">
        <v>23.053599999999999</v>
      </c>
    </row>
    <row r="426" spans="1:11" ht="9" customHeight="1" x14ac:dyDescent="0.25">
      <c r="A426" s="617" t="s">
        <v>1195</v>
      </c>
      <c r="B426" s="618" t="s">
        <v>1196</v>
      </c>
      <c r="C426" s="619">
        <v>645733.49970000004</v>
      </c>
      <c r="D426" s="619">
        <v>27.674299999999999</v>
      </c>
      <c r="E426" s="619">
        <v>11.3834</v>
      </c>
      <c r="F426" s="619">
        <v>4.6124000000000001</v>
      </c>
      <c r="G426" s="619">
        <v>41.511400000000002</v>
      </c>
      <c r="H426" s="619">
        <v>217.37049999999999</v>
      </c>
      <c r="I426" s="619">
        <v>27.6343</v>
      </c>
      <c r="J426" s="619">
        <v>330.18630000000002</v>
      </c>
      <c r="K426" s="619">
        <v>71.304400000000001</v>
      </c>
    </row>
    <row r="427" spans="1:11" ht="9" customHeight="1" x14ac:dyDescent="0.25">
      <c r="A427" s="617" t="s">
        <v>1273</v>
      </c>
      <c r="B427" s="618" t="s">
        <v>1274</v>
      </c>
      <c r="C427" s="928"/>
      <c r="D427" s="928"/>
      <c r="E427" s="928"/>
      <c r="F427" s="928"/>
      <c r="G427" s="928"/>
      <c r="H427" s="928"/>
      <c r="I427" s="928"/>
      <c r="J427" s="619">
        <v>320.26620000000003</v>
      </c>
      <c r="K427" s="619">
        <v>99.211600000000004</v>
      </c>
    </row>
    <row r="428" spans="1:11" ht="18" customHeight="1" x14ac:dyDescent="0.25">
      <c r="A428" s="617" t="s">
        <v>1275</v>
      </c>
      <c r="B428" s="618" t="s">
        <v>1276</v>
      </c>
      <c r="C428" s="619">
        <v>705572.05070000002</v>
      </c>
      <c r="D428" s="619">
        <v>30.238800000000001</v>
      </c>
      <c r="E428" s="619">
        <v>12.4382</v>
      </c>
      <c r="F428" s="619">
        <v>5.0397999999999996</v>
      </c>
      <c r="G428" s="619">
        <v>45.358199999999997</v>
      </c>
      <c r="H428" s="619">
        <v>160.1677</v>
      </c>
      <c r="I428" s="619">
        <v>34.338099999999997</v>
      </c>
      <c r="J428" s="619">
        <v>287.58080000000001</v>
      </c>
      <c r="K428" s="619">
        <v>82.054900000000004</v>
      </c>
    </row>
    <row r="429" spans="1:11" ht="9" customHeight="1" x14ac:dyDescent="0.25">
      <c r="A429" s="617" t="s">
        <v>1277</v>
      </c>
      <c r="B429" s="618" t="s">
        <v>1278</v>
      </c>
      <c r="C429" s="619">
        <v>182894.041</v>
      </c>
      <c r="D429" s="619">
        <v>13.8033</v>
      </c>
      <c r="E429" s="619">
        <v>3.3534000000000002</v>
      </c>
      <c r="F429" s="619">
        <v>0</v>
      </c>
      <c r="G429" s="619">
        <v>15.528700000000001</v>
      </c>
      <c r="H429" s="619">
        <v>0</v>
      </c>
      <c r="I429" s="619">
        <v>0</v>
      </c>
      <c r="J429" s="619">
        <v>32.685400000000001</v>
      </c>
      <c r="K429" s="619">
        <v>17.156700000000001</v>
      </c>
    </row>
    <row r="430" spans="1:11" ht="9" customHeight="1" x14ac:dyDescent="0.25">
      <c r="A430" s="617" t="s">
        <v>1279</v>
      </c>
      <c r="B430" s="618" t="s">
        <v>1280</v>
      </c>
      <c r="C430" s="928"/>
      <c r="D430" s="928"/>
      <c r="E430" s="928"/>
      <c r="F430" s="928"/>
      <c r="G430" s="928"/>
      <c r="H430" s="928"/>
      <c r="I430" s="928"/>
      <c r="J430" s="619">
        <v>314.01960000000003</v>
      </c>
      <c r="K430" s="619">
        <v>125.0056</v>
      </c>
    </row>
    <row r="431" spans="1:11" ht="18" customHeight="1" x14ac:dyDescent="0.25">
      <c r="A431" s="617" t="s">
        <v>1281</v>
      </c>
      <c r="B431" s="618" t="s">
        <v>1282</v>
      </c>
      <c r="C431" s="619">
        <v>358170.02679999999</v>
      </c>
      <c r="D431" s="619">
        <v>15.350099999999999</v>
      </c>
      <c r="E431" s="619">
        <v>6.3140000000000001</v>
      </c>
      <c r="F431" s="619">
        <v>2.5583999999999998</v>
      </c>
      <c r="G431" s="619">
        <v>23.025200000000002</v>
      </c>
      <c r="H431" s="619">
        <v>132.96600000000001</v>
      </c>
      <c r="I431" s="619">
        <v>34.338099999999997</v>
      </c>
      <c r="J431" s="619">
        <v>214.55179999999999</v>
      </c>
      <c r="K431" s="619">
        <v>58.560600000000001</v>
      </c>
    </row>
    <row r="432" spans="1:11" ht="9" customHeight="1" x14ac:dyDescent="0.25">
      <c r="A432" s="617" t="s">
        <v>1283</v>
      </c>
      <c r="B432" s="618" t="s">
        <v>1284</v>
      </c>
      <c r="C432" s="619">
        <v>495341.58</v>
      </c>
      <c r="D432" s="619">
        <v>33.022799999999997</v>
      </c>
      <c r="E432" s="619">
        <v>8.9140999999999995</v>
      </c>
      <c r="F432" s="619">
        <v>0</v>
      </c>
      <c r="G432" s="619">
        <v>33.022799999999997</v>
      </c>
      <c r="H432" s="619">
        <v>0</v>
      </c>
      <c r="I432" s="619">
        <v>24.508099999999999</v>
      </c>
      <c r="J432" s="619">
        <v>99.467799999999997</v>
      </c>
      <c r="K432" s="619">
        <v>66.444999999999993</v>
      </c>
    </row>
    <row r="433" spans="1:11" ht="9" customHeight="1" x14ac:dyDescent="0.25">
      <c r="A433" s="617" t="s">
        <v>1285</v>
      </c>
      <c r="B433" s="618" t="s">
        <v>1286</v>
      </c>
      <c r="C433" s="928"/>
      <c r="D433" s="928"/>
      <c r="E433" s="928"/>
      <c r="F433" s="928"/>
      <c r="G433" s="928"/>
      <c r="H433" s="928"/>
      <c r="I433" s="928"/>
      <c r="J433" s="619">
        <v>185.73240000000001</v>
      </c>
      <c r="K433" s="619">
        <v>64.105999999999995</v>
      </c>
    </row>
    <row r="434" spans="1:11" ht="9" customHeight="1" x14ac:dyDescent="0.25">
      <c r="A434" s="617" t="s">
        <v>1287</v>
      </c>
      <c r="B434" s="618" t="s">
        <v>1288</v>
      </c>
      <c r="C434" s="619">
        <v>523362.0098</v>
      </c>
      <c r="D434" s="619">
        <v>22.4298</v>
      </c>
      <c r="E434" s="619">
        <v>9.2261000000000006</v>
      </c>
      <c r="F434" s="619">
        <v>3.7383000000000002</v>
      </c>
      <c r="G434" s="619">
        <v>33.6447</v>
      </c>
      <c r="H434" s="619">
        <v>82.761399999999995</v>
      </c>
      <c r="I434" s="619">
        <v>22.944199999999999</v>
      </c>
      <c r="J434" s="619">
        <v>174.74449999999999</v>
      </c>
      <c r="K434" s="619">
        <v>58.3384</v>
      </c>
    </row>
    <row r="435" spans="1:11" ht="9" customHeight="1" x14ac:dyDescent="0.25">
      <c r="A435" s="617" t="s">
        <v>1289</v>
      </c>
      <c r="B435" s="618" t="s">
        <v>1290</v>
      </c>
      <c r="C435" s="619">
        <v>61483.9</v>
      </c>
      <c r="D435" s="619">
        <v>4.6402999999999999</v>
      </c>
      <c r="E435" s="619">
        <v>1.1273</v>
      </c>
      <c r="F435" s="619">
        <v>0</v>
      </c>
      <c r="G435" s="619">
        <v>5.2202999999999999</v>
      </c>
      <c r="H435" s="619">
        <v>0</v>
      </c>
      <c r="I435" s="619">
        <v>0</v>
      </c>
      <c r="J435" s="619">
        <v>10.9879</v>
      </c>
      <c r="K435" s="619">
        <v>5.7675999999999998</v>
      </c>
    </row>
    <row r="436" spans="1:11" ht="9" customHeight="1" x14ac:dyDescent="0.25">
      <c r="A436" s="617" t="s">
        <v>1291</v>
      </c>
      <c r="B436" s="618" t="s">
        <v>1292</v>
      </c>
      <c r="C436" s="928"/>
      <c r="D436" s="928"/>
      <c r="E436" s="928"/>
      <c r="F436" s="928"/>
      <c r="G436" s="928"/>
      <c r="H436" s="928"/>
      <c r="I436" s="928"/>
      <c r="J436" s="619">
        <v>181.41679999999999</v>
      </c>
      <c r="K436" s="619">
        <v>62.002099999999999</v>
      </c>
    </row>
    <row r="437" spans="1:11" ht="9" customHeight="1" x14ac:dyDescent="0.25">
      <c r="A437" s="617" t="s">
        <v>1293</v>
      </c>
      <c r="B437" s="618" t="s">
        <v>1294</v>
      </c>
      <c r="C437" s="619">
        <v>533268.71869999997</v>
      </c>
      <c r="D437" s="619">
        <v>22.854399999999998</v>
      </c>
      <c r="E437" s="619">
        <v>9.4008000000000003</v>
      </c>
      <c r="F437" s="619">
        <v>3.8090999999999999</v>
      </c>
      <c r="G437" s="619">
        <v>34.281599999999997</v>
      </c>
      <c r="H437" s="619">
        <v>82.761399999999995</v>
      </c>
      <c r="I437" s="619">
        <v>22.944199999999999</v>
      </c>
      <c r="J437" s="619">
        <v>176.0515</v>
      </c>
      <c r="K437" s="619">
        <v>59.008499999999998</v>
      </c>
    </row>
    <row r="438" spans="1:11" ht="9" customHeight="1" x14ac:dyDescent="0.25">
      <c r="A438" s="617" t="s">
        <v>1295</v>
      </c>
      <c r="B438" s="618" t="s">
        <v>1296</v>
      </c>
      <c r="C438" s="619">
        <v>34388.985999999997</v>
      </c>
      <c r="D438" s="619">
        <v>2.3717000000000001</v>
      </c>
      <c r="E438" s="619">
        <v>0.62190000000000001</v>
      </c>
      <c r="F438" s="619">
        <v>0</v>
      </c>
      <c r="G438" s="619">
        <v>2.3717000000000001</v>
      </c>
      <c r="H438" s="619">
        <v>0</v>
      </c>
      <c r="I438" s="619">
        <v>0</v>
      </c>
      <c r="J438" s="619">
        <v>5.3653000000000004</v>
      </c>
      <c r="K438" s="619">
        <v>2.9935999999999998</v>
      </c>
    </row>
    <row r="439" spans="1:11" ht="9" customHeight="1" x14ac:dyDescent="0.25">
      <c r="A439" s="617" t="s">
        <v>438</v>
      </c>
      <c r="B439" s="618" t="s">
        <v>1297</v>
      </c>
      <c r="C439" s="928"/>
      <c r="D439" s="928"/>
      <c r="E439" s="928"/>
      <c r="F439" s="928"/>
      <c r="G439" s="928"/>
      <c r="H439" s="928"/>
      <c r="I439" s="928"/>
      <c r="J439" s="619">
        <v>271.87700000000001</v>
      </c>
      <c r="K439" s="619">
        <v>66.677300000000002</v>
      </c>
    </row>
    <row r="440" spans="1:11" ht="18" customHeight="1" x14ac:dyDescent="0.25">
      <c r="A440" s="617" t="s">
        <v>1203</v>
      </c>
      <c r="B440" s="618" t="s">
        <v>1204</v>
      </c>
      <c r="C440" s="619">
        <v>494831.02909999999</v>
      </c>
      <c r="D440" s="619">
        <v>21.207000000000001</v>
      </c>
      <c r="E440" s="619">
        <v>8.7232000000000003</v>
      </c>
      <c r="F440" s="619">
        <v>3.5345</v>
      </c>
      <c r="G440" s="619">
        <v>31.810600000000001</v>
      </c>
      <c r="H440" s="619">
        <v>157.2467</v>
      </c>
      <c r="I440" s="619">
        <v>22.944199999999999</v>
      </c>
      <c r="J440" s="619">
        <v>245.46619999999999</v>
      </c>
      <c r="K440" s="619">
        <v>56.408900000000003</v>
      </c>
    </row>
    <row r="441" spans="1:11" ht="9" customHeight="1" x14ac:dyDescent="0.25">
      <c r="A441" s="617" t="s">
        <v>1298</v>
      </c>
      <c r="B441" s="618" t="s">
        <v>1299</v>
      </c>
      <c r="C441" s="619">
        <v>190570</v>
      </c>
      <c r="D441" s="619">
        <v>7.6227999999999998</v>
      </c>
      <c r="E441" s="619">
        <v>2.6456</v>
      </c>
      <c r="F441" s="619">
        <v>0</v>
      </c>
      <c r="G441" s="619">
        <v>7.6227999999999998</v>
      </c>
      <c r="H441" s="619">
        <v>8.5196000000000005</v>
      </c>
      <c r="I441" s="619">
        <v>0</v>
      </c>
      <c r="J441" s="619">
        <v>26.410799999999998</v>
      </c>
      <c r="K441" s="619">
        <v>10.2684</v>
      </c>
    </row>
    <row r="442" spans="1:11" ht="9" customHeight="1" x14ac:dyDescent="0.25">
      <c r="A442" s="617" t="s">
        <v>1300</v>
      </c>
      <c r="B442" s="618" t="s">
        <v>1301</v>
      </c>
      <c r="C442" s="928"/>
      <c r="D442" s="928"/>
      <c r="E442" s="928"/>
      <c r="F442" s="928"/>
      <c r="G442" s="928"/>
      <c r="H442" s="928"/>
      <c r="I442" s="928"/>
      <c r="J442" s="619">
        <v>281.35559999999998</v>
      </c>
      <c r="K442" s="619">
        <v>73.7714</v>
      </c>
    </row>
    <row r="443" spans="1:11" ht="9" customHeight="1" x14ac:dyDescent="0.25">
      <c r="A443" s="617" t="s">
        <v>1302</v>
      </c>
      <c r="B443" s="618" t="s">
        <v>1303</v>
      </c>
      <c r="C443" s="619">
        <v>636488.37560000003</v>
      </c>
      <c r="D443" s="619">
        <v>27.278099999999998</v>
      </c>
      <c r="E443" s="619">
        <v>11.2204</v>
      </c>
      <c r="F443" s="619">
        <v>4.5462999999999996</v>
      </c>
      <c r="G443" s="619">
        <v>40.917099999999998</v>
      </c>
      <c r="H443" s="619">
        <v>160.1677</v>
      </c>
      <c r="I443" s="619">
        <v>22.944199999999999</v>
      </c>
      <c r="J443" s="619">
        <v>267.07380000000001</v>
      </c>
      <c r="K443" s="619">
        <v>65.989000000000004</v>
      </c>
    </row>
    <row r="444" spans="1:11" ht="9" customHeight="1" x14ac:dyDescent="0.25">
      <c r="A444" s="617" t="s">
        <v>1304</v>
      </c>
      <c r="B444" s="618" t="s">
        <v>1305</v>
      </c>
      <c r="C444" s="619">
        <v>115545.60000000001</v>
      </c>
      <c r="D444" s="619">
        <v>5.7773000000000003</v>
      </c>
      <c r="E444" s="619">
        <v>2.0051000000000001</v>
      </c>
      <c r="F444" s="619">
        <v>0</v>
      </c>
      <c r="G444" s="619">
        <v>6.4993999999999996</v>
      </c>
      <c r="H444" s="619">
        <v>0</v>
      </c>
      <c r="I444" s="619">
        <v>0</v>
      </c>
      <c r="J444" s="619">
        <v>14.2818</v>
      </c>
      <c r="K444" s="619">
        <v>7.7824</v>
      </c>
    </row>
    <row r="445" spans="1:11" ht="9" customHeight="1" x14ac:dyDescent="0.25">
      <c r="A445" s="617" t="s">
        <v>442</v>
      </c>
      <c r="B445" s="618" t="s">
        <v>1306</v>
      </c>
      <c r="C445" s="928"/>
      <c r="D445" s="928"/>
      <c r="E445" s="928"/>
      <c r="F445" s="928"/>
      <c r="G445" s="928"/>
      <c r="H445" s="928"/>
      <c r="I445" s="928"/>
      <c r="J445" s="619">
        <v>341.02019999999999</v>
      </c>
      <c r="K445" s="619">
        <v>75.331199999999995</v>
      </c>
    </row>
    <row r="446" spans="1:11" ht="18" customHeight="1" x14ac:dyDescent="0.25">
      <c r="A446" s="617" t="s">
        <v>1307</v>
      </c>
      <c r="B446" s="618" t="s">
        <v>1308</v>
      </c>
      <c r="C446" s="619">
        <v>636488.37560000003</v>
      </c>
      <c r="D446" s="619">
        <v>27.278099999999998</v>
      </c>
      <c r="E446" s="619">
        <v>11.2204</v>
      </c>
      <c r="F446" s="619">
        <v>4.5462999999999996</v>
      </c>
      <c r="G446" s="619">
        <v>40.917099999999998</v>
      </c>
      <c r="H446" s="619">
        <v>217.37049999999999</v>
      </c>
      <c r="I446" s="619">
        <v>22.944199999999999</v>
      </c>
      <c r="J446" s="619">
        <v>324.27659999999997</v>
      </c>
      <c r="K446" s="619">
        <v>65.989000000000004</v>
      </c>
    </row>
    <row r="447" spans="1:11" ht="9" customHeight="1" x14ac:dyDescent="0.25">
      <c r="A447" s="617" t="s">
        <v>1309</v>
      </c>
      <c r="B447" s="618" t="s">
        <v>1310</v>
      </c>
      <c r="C447" s="619">
        <v>107321</v>
      </c>
      <c r="D447" s="619">
        <v>7.4013999999999998</v>
      </c>
      <c r="E447" s="619">
        <v>1.9408000000000001</v>
      </c>
      <c r="F447" s="619">
        <v>0</v>
      </c>
      <c r="G447" s="619">
        <v>7.4013999999999998</v>
      </c>
      <c r="H447" s="619">
        <v>0</v>
      </c>
      <c r="I447" s="619">
        <v>0</v>
      </c>
      <c r="J447" s="619">
        <v>16.743600000000001</v>
      </c>
      <c r="K447" s="619">
        <v>9.3422000000000001</v>
      </c>
    </row>
    <row r="448" spans="1:11" ht="9" customHeight="1" x14ac:dyDescent="0.25">
      <c r="A448" s="617" t="s">
        <v>1311</v>
      </c>
      <c r="B448" s="618" t="s">
        <v>1312</v>
      </c>
      <c r="C448" s="928"/>
      <c r="D448" s="928"/>
      <c r="E448" s="928"/>
      <c r="F448" s="928"/>
      <c r="G448" s="928"/>
      <c r="H448" s="928"/>
      <c r="I448" s="928"/>
      <c r="J448" s="619">
        <v>295.0283</v>
      </c>
      <c r="K448" s="619">
        <v>82.779200000000003</v>
      </c>
    </row>
    <row r="449" spans="1:11" ht="9" customHeight="1" x14ac:dyDescent="0.25">
      <c r="A449" s="617" t="s">
        <v>1313</v>
      </c>
      <c r="B449" s="618" t="s">
        <v>1314</v>
      </c>
      <c r="C449" s="619">
        <v>705572.05070000002</v>
      </c>
      <c r="D449" s="619">
        <v>30.238800000000001</v>
      </c>
      <c r="E449" s="619">
        <v>12.4382</v>
      </c>
      <c r="F449" s="619">
        <v>5.0397999999999996</v>
      </c>
      <c r="G449" s="619">
        <v>45.358199999999997</v>
      </c>
      <c r="H449" s="619">
        <v>160.1677</v>
      </c>
      <c r="I449" s="619">
        <v>27.6343</v>
      </c>
      <c r="J449" s="619">
        <v>280.87700000000001</v>
      </c>
      <c r="K449" s="619">
        <v>75.351100000000002</v>
      </c>
    </row>
    <row r="450" spans="1:11" ht="9" customHeight="1" x14ac:dyDescent="0.25">
      <c r="A450" s="617" t="s">
        <v>1315</v>
      </c>
      <c r="B450" s="618" t="s">
        <v>1316</v>
      </c>
      <c r="C450" s="619">
        <v>79184.492800000007</v>
      </c>
      <c r="D450" s="619">
        <v>5.9762000000000004</v>
      </c>
      <c r="E450" s="619">
        <v>1.4519</v>
      </c>
      <c r="F450" s="619">
        <v>0</v>
      </c>
      <c r="G450" s="619">
        <v>6.7232000000000003</v>
      </c>
      <c r="H450" s="619">
        <v>0</v>
      </c>
      <c r="I450" s="619">
        <v>0</v>
      </c>
      <c r="J450" s="619">
        <v>14.151300000000001</v>
      </c>
      <c r="K450" s="619">
        <v>7.4280999999999997</v>
      </c>
    </row>
    <row r="451" spans="1:11" ht="9" customHeight="1" x14ac:dyDescent="0.25">
      <c r="A451" s="617" t="s">
        <v>434</v>
      </c>
      <c r="B451" s="618" t="s">
        <v>1317</v>
      </c>
      <c r="C451" s="928"/>
      <c r="D451" s="928"/>
      <c r="E451" s="928"/>
      <c r="F451" s="928"/>
      <c r="G451" s="928"/>
      <c r="H451" s="928"/>
      <c r="I451" s="928"/>
      <c r="J451" s="619">
        <v>288.68560000000002</v>
      </c>
      <c r="K451" s="619">
        <v>77.227800000000002</v>
      </c>
    </row>
    <row r="452" spans="1:11" ht="9" customHeight="1" x14ac:dyDescent="0.25">
      <c r="A452" s="617" t="s">
        <v>1243</v>
      </c>
      <c r="B452" s="618" t="s">
        <v>1244</v>
      </c>
      <c r="C452" s="619">
        <v>701748.09279999998</v>
      </c>
      <c r="D452" s="619">
        <v>30.0749</v>
      </c>
      <c r="E452" s="619">
        <v>12.370799999999999</v>
      </c>
      <c r="F452" s="619">
        <v>5.0125000000000002</v>
      </c>
      <c r="G452" s="619">
        <v>45.112400000000001</v>
      </c>
      <c r="H452" s="619">
        <v>160.1677</v>
      </c>
      <c r="I452" s="619">
        <v>22.944199999999999</v>
      </c>
      <c r="J452" s="619">
        <v>275.6825</v>
      </c>
      <c r="K452" s="619">
        <v>70.4024</v>
      </c>
    </row>
    <row r="453" spans="1:11" ht="9" customHeight="1" x14ac:dyDescent="0.25">
      <c r="A453" s="617" t="s">
        <v>1318</v>
      </c>
      <c r="B453" s="618" t="s">
        <v>1319</v>
      </c>
      <c r="C453" s="619">
        <v>72759.708199999994</v>
      </c>
      <c r="D453" s="619">
        <v>5.4912999999999998</v>
      </c>
      <c r="E453" s="619">
        <v>1.3341000000000001</v>
      </c>
      <c r="F453" s="619">
        <v>0</v>
      </c>
      <c r="G453" s="619">
        <v>6.1776999999999997</v>
      </c>
      <c r="H453" s="619">
        <v>0</v>
      </c>
      <c r="I453" s="619">
        <v>0</v>
      </c>
      <c r="J453" s="619">
        <v>13.0031</v>
      </c>
      <c r="K453" s="619">
        <v>6.8254000000000001</v>
      </c>
    </row>
    <row r="454" spans="1:11" ht="9" customHeight="1" x14ac:dyDescent="0.25">
      <c r="A454" s="617" t="s">
        <v>180</v>
      </c>
      <c r="B454" s="618" t="s">
        <v>1320</v>
      </c>
      <c r="C454" s="928"/>
      <c r="D454" s="928"/>
      <c r="E454" s="928"/>
      <c r="F454" s="928"/>
      <c r="G454" s="928"/>
      <c r="H454" s="928"/>
      <c r="I454" s="928"/>
      <c r="J454" s="619">
        <v>274.3526</v>
      </c>
      <c r="K454" s="619">
        <v>69.995099999999994</v>
      </c>
    </row>
    <row r="455" spans="1:11" ht="9" customHeight="1" x14ac:dyDescent="0.25">
      <c r="A455" s="617" t="s">
        <v>1321</v>
      </c>
      <c r="B455" s="618" t="s">
        <v>1322</v>
      </c>
      <c r="C455" s="619">
        <v>645733.49979999999</v>
      </c>
      <c r="D455" s="619">
        <v>27.674299999999999</v>
      </c>
      <c r="E455" s="619">
        <v>11.3834</v>
      </c>
      <c r="F455" s="619">
        <v>4.6124000000000001</v>
      </c>
      <c r="G455" s="619">
        <v>41.511400000000002</v>
      </c>
      <c r="H455" s="619">
        <v>160.1677</v>
      </c>
      <c r="I455" s="619">
        <v>22.944199999999999</v>
      </c>
      <c r="J455" s="619">
        <v>268.29340000000002</v>
      </c>
      <c r="K455" s="619">
        <v>66.6143</v>
      </c>
    </row>
    <row r="456" spans="1:11" ht="9" customHeight="1" x14ac:dyDescent="0.25">
      <c r="A456" s="617" t="s">
        <v>1323</v>
      </c>
      <c r="B456" s="618" t="s">
        <v>1324</v>
      </c>
      <c r="C456" s="619">
        <v>38837.330099999999</v>
      </c>
      <c r="D456" s="619">
        <v>2.6783999999999999</v>
      </c>
      <c r="E456" s="619">
        <v>0.70240000000000002</v>
      </c>
      <c r="F456" s="619">
        <v>0</v>
      </c>
      <c r="G456" s="619">
        <v>2.6783999999999999</v>
      </c>
      <c r="H456" s="619">
        <v>0</v>
      </c>
      <c r="I456" s="619">
        <v>0</v>
      </c>
      <c r="J456" s="619">
        <v>6.0591999999999997</v>
      </c>
      <c r="K456" s="619">
        <v>3.3807999999999998</v>
      </c>
    </row>
    <row r="457" spans="1:11" ht="9" customHeight="1" x14ac:dyDescent="0.25">
      <c r="A457" s="617" t="s">
        <v>1325</v>
      </c>
      <c r="B457" s="618" t="s">
        <v>1326</v>
      </c>
      <c r="C457" s="928"/>
      <c r="D457" s="928"/>
      <c r="E457" s="928"/>
      <c r="F457" s="928"/>
      <c r="G457" s="928"/>
      <c r="H457" s="928"/>
      <c r="I457" s="928"/>
      <c r="J457" s="619">
        <v>310.45310000000001</v>
      </c>
      <c r="K457" s="619">
        <v>90.875699999999995</v>
      </c>
    </row>
    <row r="458" spans="1:11" ht="9" customHeight="1" x14ac:dyDescent="0.25">
      <c r="A458" s="617" t="s">
        <v>1313</v>
      </c>
      <c r="B458" s="618" t="s">
        <v>1314</v>
      </c>
      <c r="C458" s="619">
        <v>705572.05070000002</v>
      </c>
      <c r="D458" s="619">
        <v>30.238800000000001</v>
      </c>
      <c r="E458" s="619">
        <v>12.4382</v>
      </c>
      <c r="F458" s="619">
        <v>5.0397999999999996</v>
      </c>
      <c r="G458" s="619">
        <v>45.358199999999997</v>
      </c>
      <c r="H458" s="619">
        <v>160.1677</v>
      </c>
      <c r="I458" s="619">
        <v>27.6343</v>
      </c>
      <c r="J458" s="619">
        <v>280.87700000000001</v>
      </c>
      <c r="K458" s="619">
        <v>75.351100000000002</v>
      </c>
    </row>
    <row r="459" spans="1:11" ht="9" customHeight="1" x14ac:dyDescent="0.25">
      <c r="A459" s="617" t="s">
        <v>1327</v>
      </c>
      <c r="B459" s="618" t="s">
        <v>1328</v>
      </c>
      <c r="C459" s="619">
        <v>165495</v>
      </c>
      <c r="D459" s="619">
        <v>12.4902</v>
      </c>
      <c r="E459" s="619">
        <v>3.0344000000000002</v>
      </c>
      <c r="F459" s="619">
        <v>0</v>
      </c>
      <c r="G459" s="619">
        <v>14.051500000000001</v>
      </c>
      <c r="H459" s="619">
        <v>0</v>
      </c>
      <c r="I459" s="619">
        <v>0</v>
      </c>
      <c r="J459" s="619">
        <v>29.5761</v>
      </c>
      <c r="K459" s="619">
        <v>15.5246</v>
      </c>
    </row>
    <row r="460" spans="1:11" ht="9" customHeight="1" x14ac:dyDescent="0.25">
      <c r="A460" s="617" t="s">
        <v>1329</v>
      </c>
      <c r="B460" s="618" t="s">
        <v>1330</v>
      </c>
      <c r="C460" s="928"/>
      <c r="D460" s="928"/>
      <c r="E460" s="928"/>
      <c r="F460" s="928"/>
      <c r="G460" s="928"/>
      <c r="H460" s="928"/>
      <c r="I460" s="928"/>
      <c r="J460" s="619">
        <v>314.00729999999999</v>
      </c>
      <c r="K460" s="619">
        <v>80.596400000000003</v>
      </c>
    </row>
    <row r="461" spans="1:11" ht="9" customHeight="1" x14ac:dyDescent="0.25">
      <c r="A461" s="617" t="s">
        <v>1331</v>
      </c>
      <c r="B461" s="618" t="s">
        <v>1332</v>
      </c>
      <c r="C461" s="619">
        <v>754188.35710000002</v>
      </c>
      <c r="D461" s="619">
        <v>32.322400000000002</v>
      </c>
      <c r="E461" s="619">
        <v>13.295299999999999</v>
      </c>
      <c r="F461" s="619">
        <v>5.3871000000000002</v>
      </c>
      <c r="G461" s="619">
        <v>48.483499999999999</v>
      </c>
      <c r="H461" s="619">
        <v>178.91079999999999</v>
      </c>
      <c r="I461" s="619">
        <v>22.944199999999999</v>
      </c>
      <c r="J461" s="619">
        <v>301.3433</v>
      </c>
      <c r="K461" s="619">
        <v>73.948999999999998</v>
      </c>
    </row>
    <row r="462" spans="1:11" ht="9" customHeight="1" x14ac:dyDescent="0.25">
      <c r="A462" s="617" t="s">
        <v>1333</v>
      </c>
      <c r="B462" s="618" t="s">
        <v>1334</v>
      </c>
      <c r="C462" s="619">
        <v>70862.034299999999</v>
      </c>
      <c r="D462" s="619">
        <v>5.3480999999999996</v>
      </c>
      <c r="E462" s="619">
        <v>1.2992999999999999</v>
      </c>
      <c r="F462" s="619">
        <v>0</v>
      </c>
      <c r="G462" s="619">
        <v>6.0166000000000004</v>
      </c>
      <c r="H462" s="619">
        <v>0</v>
      </c>
      <c r="I462" s="619">
        <v>0</v>
      </c>
      <c r="J462" s="619">
        <v>12.664</v>
      </c>
      <c r="K462" s="619">
        <v>6.6474000000000002</v>
      </c>
    </row>
    <row r="463" spans="1:11" ht="9" customHeight="1" x14ac:dyDescent="0.25">
      <c r="A463" s="617" t="s">
        <v>170</v>
      </c>
      <c r="B463" s="618" t="s">
        <v>1335</v>
      </c>
      <c r="C463" s="928"/>
      <c r="D463" s="928"/>
      <c r="E463" s="928"/>
      <c r="F463" s="928"/>
      <c r="G463" s="928"/>
      <c r="H463" s="928"/>
      <c r="I463" s="928"/>
      <c r="J463" s="619">
        <v>260.17559999999997</v>
      </c>
      <c r="K463" s="619">
        <v>64.616100000000003</v>
      </c>
    </row>
    <row r="464" spans="1:11" ht="18" customHeight="1" x14ac:dyDescent="0.25">
      <c r="A464" s="617" t="s">
        <v>1203</v>
      </c>
      <c r="B464" s="618" t="s">
        <v>1204</v>
      </c>
      <c r="C464" s="619">
        <v>494831.02909999999</v>
      </c>
      <c r="D464" s="619">
        <v>21.207000000000001</v>
      </c>
      <c r="E464" s="619">
        <v>8.7232000000000003</v>
      </c>
      <c r="F464" s="619">
        <v>3.5345</v>
      </c>
      <c r="G464" s="619">
        <v>31.810600000000001</v>
      </c>
      <c r="H464" s="619">
        <v>157.2467</v>
      </c>
      <c r="I464" s="619">
        <v>22.944199999999999</v>
      </c>
      <c r="J464" s="619">
        <v>245.46619999999999</v>
      </c>
      <c r="K464" s="619">
        <v>56.408900000000003</v>
      </c>
    </row>
    <row r="465" spans="1:11" ht="9" customHeight="1" x14ac:dyDescent="0.25">
      <c r="A465" s="617" t="s">
        <v>1336</v>
      </c>
      <c r="B465" s="618" t="s">
        <v>1337</v>
      </c>
      <c r="C465" s="619">
        <v>94282</v>
      </c>
      <c r="D465" s="619">
        <v>6.5022000000000002</v>
      </c>
      <c r="E465" s="619">
        <v>1.7050000000000001</v>
      </c>
      <c r="F465" s="619">
        <v>0</v>
      </c>
      <c r="G465" s="619">
        <v>6.5022000000000002</v>
      </c>
      <c r="H465" s="619">
        <v>0</v>
      </c>
      <c r="I465" s="619">
        <v>0</v>
      </c>
      <c r="J465" s="619">
        <v>14.7094</v>
      </c>
      <c r="K465" s="619">
        <v>8.2072000000000003</v>
      </c>
    </row>
    <row r="466" spans="1:11" ht="9" customHeight="1" x14ac:dyDescent="0.25">
      <c r="A466" s="617" t="s">
        <v>1338</v>
      </c>
      <c r="B466" s="618" t="s">
        <v>1339</v>
      </c>
      <c r="C466" s="928"/>
      <c r="D466" s="928"/>
      <c r="E466" s="928"/>
      <c r="F466" s="928"/>
      <c r="G466" s="928"/>
      <c r="H466" s="928"/>
      <c r="I466" s="928"/>
      <c r="J466" s="619">
        <v>378.5102</v>
      </c>
      <c r="K466" s="619">
        <v>143.8751</v>
      </c>
    </row>
    <row r="467" spans="1:11" ht="9" customHeight="1" x14ac:dyDescent="0.25">
      <c r="A467" s="617" t="s">
        <v>1340</v>
      </c>
      <c r="B467" s="618" t="s">
        <v>1341</v>
      </c>
      <c r="C467" s="619">
        <v>359832.19449999998</v>
      </c>
      <c r="D467" s="619">
        <v>15.4214</v>
      </c>
      <c r="E467" s="619">
        <v>6.3433000000000002</v>
      </c>
      <c r="F467" s="619">
        <v>2.5701999999999998</v>
      </c>
      <c r="G467" s="619">
        <v>23.132100000000001</v>
      </c>
      <c r="H467" s="619">
        <v>132.96600000000001</v>
      </c>
      <c r="I467" s="619">
        <v>27.6343</v>
      </c>
      <c r="J467" s="619">
        <v>208.06729999999999</v>
      </c>
      <c r="K467" s="619">
        <v>51.969200000000001</v>
      </c>
    </row>
    <row r="468" spans="1:11" ht="9" customHeight="1" x14ac:dyDescent="0.25">
      <c r="A468" s="617" t="s">
        <v>1342</v>
      </c>
      <c r="B468" s="618" t="s">
        <v>1343</v>
      </c>
      <c r="C468" s="619">
        <v>697085</v>
      </c>
      <c r="D468" s="619">
        <v>52.668599999999998</v>
      </c>
      <c r="E468" s="619">
        <v>19.115600000000001</v>
      </c>
      <c r="F468" s="619">
        <v>0</v>
      </c>
      <c r="G468" s="619">
        <v>49.570500000000003</v>
      </c>
      <c r="H468" s="619">
        <v>28.9665</v>
      </c>
      <c r="I468" s="619">
        <v>20.121700000000001</v>
      </c>
      <c r="J468" s="619">
        <v>170.44290000000001</v>
      </c>
      <c r="K468" s="619">
        <v>91.905900000000003</v>
      </c>
    </row>
    <row r="469" spans="1:11" ht="9" customHeight="1" x14ac:dyDescent="0.25">
      <c r="A469" s="617" t="s">
        <v>1344</v>
      </c>
      <c r="B469" s="618" t="s">
        <v>1345</v>
      </c>
      <c r="C469" s="928"/>
      <c r="D469" s="928"/>
      <c r="E469" s="928"/>
      <c r="F469" s="928"/>
      <c r="G469" s="928"/>
      <c r="H469" s="928"/>
      <c r="I469" s="928"/>
      <c r="J469" s="619">
        <v>521.98580000000004</v>
      </c>
      <c r="K469" s="619">
        <v>207.7852</v>
      </c>
    </row>
    <row r="470" spans="1:11" ht="9" customHeight="1" x14ac:dyDescent="0.25">
      <c r="A470" s="617" t="s">
        <v>1346</v>
      </c>
      <c r="B470" s="618" t="s">
        <v>1347</v>
      </c>
      <c r="C470" s="619">
        <v>494831.02909999999</v>
      </c>
      <c r="D470" s="619">
        <v>21.207000000000001</v>
      </c>
      <c r="E470" s="619">
        <v>8.7232000000000003</v>
      </c>
      <c r="F470" s="619">
        <v>3.5345</v>
      </c>
      <c r="G470" s="619">
        <v>31.810600000000001</v>
      </c>
      <c r="H470" s="619">
        <v>157.2467</v>
      </c>
      <c r="I470" s="619">
        <v>27.6343</v>
      </c>
      <c r="J470" s="619">
        <v>250.15629999999999</v>
      </c>
      <c r="K470" s="619">
        <v>61.098999999999997</v>
      </c>
    </row>
    <row r="471" spans="1:11" ht="9" customHeight="1" x14ac:dyDescent="0.25">
      <c r="A471" s="617" t="s">
        <v>1348</v>
      </c>
      <c r="B471" s="618" t="s">
        <v>1349</v>
      </c>
      <c r="C471" s="619">
        <v>100490.34179999999</v>
      </c>
      <c r="D471" s="619">
        <v>6.6993999999999998</v>
      </c>
      <c r="E471" s="619">
        <v>1.8084</v>
      </c>
      <c r="F471" s="619">
        <v>0</v>
      </c>
      <c r="G471" s="619">
        <v>6.6993999999999998</v>
      </c>
      <c r="H471" s="619">
        <v>31.138999999999999</v>
      </c>
      <c r="I471" s="619">
        <v>0</v>
      </c>
      <c r="J471" s="619">
        <v>46.346200000000003</v>
      </c>
      <c r="K471" s="619">
        <v>8.5077999999999996</v>
      </c>
    </row>
    <row r="472" spans="1:11" ht="9" customHeight="1" x14ac:dyDescent="0.25">
      <c r="A472" s="617" t="s">
        <v>1350</v>
      </c>
      <c r="B472" s="618" t="s">
        <v>1351</v>
      </c>
      <c r="C472" s="619">
        <v>1146429</v>
      </c>
      <c r="D472" s="619">
        <v>86.619100000000003</v>
      </c>
      <c r="E472" s="619">
        <v>31.4376</v>
      </c>
      <c r="F472" s="619">
        <v>0</v>
      </c>
      <c r="G472" s="619">
        <v>81.523799999999994</v>
      </c>
      <c r="H472" s="619">
        <v>5.7811000000000003</v>
      </c>
      <c r="I472" s="619">
        <v>20.121700000000001</v>
      </c>
      <c r="J472" s="619">
        <v>225.48330000000001</v>
      </c>
      <c r="K472" s="619">
        <v>138.17840000000001</v>
      </c>
    </row>
    <row r="473" spans="1:11" ht="9" customHeight="1" x14ac:dyDescent="0.25">
      <c r="A473" s="617" t="s">
        <v>1352</v>
      </c>
      <c r="B473" s="618" t="s">
        <v>1353</v>
      </c>
      <c r="C473" s="928"/>
      <c r="D473" s="928"/>
      <c r="E473" s="928"/>
      <c r="F473" s="928"/>
      <c r="G473" s="928"/>
      <c r="H473" s="928"/>
      <c r="I473" s="928"/>
      <c r="J473" s="619">
        <v>179.8537</v>
      </c>
      <c r="K473" s="619">
        <v>61.066299999999998</v>
      </c>
    </row>
    <row r="474" spans="1:11" ht="9" customHeight="1" x14ac:dyDescent="0.25">
      <c r="A474" s="617" t="s">
        <v>1354</v>
      </c>
      <c r="B474" s="618" t="s">
        <v>1355</v>
      </c>
      <c r="C474" s="619">
        <v>494831.02919999999</v>
      </c>
      <c r="D474" s="619">
        <v>21.207000000000001</v>
      </c>
      <c r="E474" s="619">
        <v>8.7232000000000003</v>
      </c>
      <c r="F474" s="619">
        <v>3.5345</v>
      </c>
      <c r="G474" s="619">
        <v>31.810600000000001</v>
      </c>
      <c r="H474" s="619">
        <v>82.761399999999995</v>
      </c>
      <c r="I474" s="619">
        <v>22.944199999999999</v>
      </c>
      <c r="J474" s="619">
        <v>170.98089999999999</v>
      </c>
      <c r="K474" s="619">
        <v>56.408900000000003</v>
      </c>
    </row>
    <row r="475" spans="1:11" ht="9" customHeight="1" x14ac:dyDescent="0.25">
      <c r="A475" s="617" t="s">
        <v>1356</v>
      </c>
      <c r="B475" s="618" t="s">
        <v>1357</v>
      </c>
      <c r="C475" s="619">
        <v>49648.5</v>
      </c>
      <c r="D475" s="619">
        <v>3.7471000000000001</v>
      </c>
      <c r="E475" s="619">
        <v>0.9103</v>
      </c>
      <c r="F475" s="619">
        <v>0</v>
      </c>
      <c r="G475" s="619">
        <v>4.2153999999999998</v>
      </c>
      <c r="H475" s="619">
        <v>0</v>
      </c>
      <c r="I475" s="619">
        <v>0</v>
      </c>
      <c r="J475" s="619">
        <v>8.8727999999999998</v>
      </c>
      <c r="K475" s="619">
        <v>4.6574</v>
      </c>
    </row>
    <row r="476" spans="1:11" ht="9" customHeight="1" x14ac:dyDescent="0.25">
      <c r="A476" s="617" t="s">
        <v>1358</v>
      </c>
      <c r="B476" s="618" t="s">
        <v>1359</v>
      </c>
      <c r="C476" s="928"/>
      <c r="D476" s="928"/>
      <c r="E476" s="928"/>
      <c r="F476" s="928"/>
      <c r="G476" s="928"/>
      <c r="H476" s="928"/>
      <c r="I476" s="928"/>
      <c r="J476" s="619">
        <v>394.8372</v>
      </c>
      <c r="K476" s="619">
        <v>114.843</v>
      </c>
    </row>
    <row r="477" spans="1:11" ht="9" customHeight="1" x14ac:dyDescent="0.25">
      <c r="A477" s="617" t="s">
        <v>1360</v>
      </c>
      <c r="B477" s="618" t="s">
        <v>1361</v>
      </c>
      <c r="C477" s="619">
        <v>747719.0368</v>
      </c>
      <c r="D477" s="619">
        <v>32.045099999999998</v>
      </c>
      <c r="E477" s="619">
        <v>13.1812</v>
      </c>
      <c r="F477" s="619">
        <v>5.3409000000000004</v>
      </c>
      <c r="G477" s="619">
        <v>48.067700000000002</v>
      </c>
      <c r="H477" s="619">
        <v>204.46940000000001</v>
      </c>
      <c r="I477" s="619">
        <v>27.6343</v>
      </c>
      <c r="J477" s="619">
        <v>330.73860000000002</v>
      </c>
      <c r="K477" s="619">
        <v>78.201499999999996</v>
      </c>
    </row>
    <row r="478" spans="1:11" ht="9" customHeight="1" x14ac:dyDescent="0.25">
      <c r="A478" s="617" t="s">
        <v>1362</v>
      </c>
      <c r="B478" s="618" t="s">
        <v>1363</v>
      </c>
      <c r="C478" s="619">
        <v>366095</v>
      </c>
      <c r="D478" s="619">
        <v>24.406300000000002</v>
      </c>
      <c r="E478" s="619">
        <v>12.235200000000001</v>
      </c>
      <c r="F478" s="619">
        <v>0</v>
      </c>
      <c r="G478" s="619">
        <v>27.457100000000001</v>
      </c>
      <c r="H478" s="619">
        <v>0</v>
      </c>
      <c r="I478" s="619">
        <v>0</v>
      </c>
      <c r="J478" s="619">
        <v>64.098600000000005</v>
      </c>
      <c r="K478" s="619">
        <v>36.641500000000001</v>
      </c>
    </row>
    <row r="479" spans="1:11" ht="9" customHeight="1" x14ac:dyDescent="0.25">
      <c r="A479" s="617" t="s">
        <v>44</v>
      </c>
      <c r="B479" s="618" t="s">
        <v>1364</v>
      </c>
      <c r="C479" s="928"/>
      <c r="D479" s="928"/>
      <c r="E479" s="928"/>
      <c r="F479" s="928"/>
      <c r="G479" s="928"/>
      <c r="H479" s="928"/>
      <c r="I479" s="928"/>
      <c r="J479" s="619">
        <v>424.72789999999998</v>
      </c>
      <c r="K479" s="619">
        <v>117.4281</v>
      </c>
    </row>
    <row r="480" spans="1:11" ht="9" customHeight="1" x14ac:dyDescent="0.25">
      <c r="A480" s="617" t="s">
        <v>1365</v>
      </c>
      <c r="B480" s="618" t="s">
        <v>1366</v>
      </c>
      <c r="C480" s="619">
        <v>788497.99439999997</v>
      </c>
      <c r="D480" s="619">
        <v>33.7928</v>
      </c>
      <c r="E480" s="619">
        <v>13.9001</v>
      </c>
      <c r="F480" s="619">
        <v>5.6321000000000003</v>
      </c>
      <c r="G480" s="619">
        <v>50.6892</v>
      </c>
      <c r="H480" s="619">
        <v>225.76830000000001</v>
      </c>
      <c r="I480" s="619">
        <v>22.944199999999999</v>
      </c>
      <c r="J480" s="619">
        <v>352.72669999999999</v>
      </c>
      <c r="K480" s="619">
        <v>76.269199999999998</v>
      </c>
    </row>
    <row r="481" spans="1:11" ht="9" customHeight="1" x14ac:dyDescent="0.25">
      <c r="A481" s="617" t="s">
        <v>1367</v>
      </c>
      <c r="B481" s="618" t="s">
        <v>1368</v>
      </c>
      <c r="C481" s="619">
        <v>411230</v>
      </c>
      <c r="D481" s="619">
        <v>27.415299999999998</v>
      </c>
      <c r="E481" s="619">
        <v>13.743600000000001</v>
      </c>
      <c r="F481" s="619">
        <v>0</v>
      </c>
      <c r="G481" s="619">
        <v>30.842300000000002</v>
      </c>
      <c r="H481" s="619">
        <v>0</v>
      </c>
      <c r="I481" s="619">
        <v>0</v>
      </c>
      <c r="J481" s="619">
        <v>72.001199999999997</v>
      </c>
      <c r="K481" s="619">
        <v>41.158900000000003</v>
      </c>
    </row>
    <row r="482" spans="1:11" ht="9" customHeight="1" x14ac:dyDescent="0.25">
      <c r="A482" s="617" t="s">
        <v>1369</v>
      </c>
      <c r="B482" s="618" t="s">
        <v>1370</v>
      </c>
      <c r="C482" s="928"/>
      <c r="D482" s="928"/>
      <c r="E482" s="928"/>
      <c r="F482" s="928"/>
      <c r="G482" s="928"/>
      <c r="H482" s="928"/>
      <c r="I482" s="928"/>
      <c r="J482" s="619">
        <v>295.0283</v>
      </c>
      <c r="K482" s="619">
        <v>82.779200000000003</v>
      </c>
    </row>
    <row r="483" spans="1:11" ht="9" customHeight="1" x14ac:dyDescent="0.25">
      <c r="A483" s="617" t="s">
        <v>1313</v>
      </c>
      <c r="B483" s="618" t="s">
        <v>1314</v>
      </c>
      <c r="C483" s="619">
        <v>705572.05070000002</v>
      </c>
      <c r="D483" s="619">
        <v>30.238800000000001</v>
      </c>
      <c r="E483" s="619">
        <v>12.4382</v>
      </c>
      <c r="F483" s="619">
        <v>5.0397999999999996</v>
      </c>
      <c r="G483" s="619">
        <v>45.358199999999997</v>
      </c>
      <c r="H483" s="619">
        <v>160.1677</v>
      </c>
      <c r="I483" s="619">
        <v>27.6343</v>
      </c>
      <c r="J483" s="619">
        <v>280.87700000000001</v>
      </c>
      <c r="K483" s="619">
        <v>75.351100000000002</v>
      </c>
    </row>
    <row r="484" spans="1:11" ht="9" customHeight="1" x14ac:dyDescent="0.25">
      <c r="A484" s="617" t="s">
        <v>1371</v>
      </c>
      <c r="B484" s="618" t="s">
        <v>1372</v>
      </c>
      <c r="C484" s="619">
        <v>79184.492800000007</v>
      </c>
      <c r="D484" s="619">
        <v>5.9762000000000004</v>
      </c>
      <c r="E484" s="619">
        <v>1.4519</v>
      </c>
      <c r="F484" s="619">
        <v>0</v>
      </c>
      <c r="G484" s="619">
        <v>6.7232000000000003</v>
      </c>
      <c r="H484" s="619">
        <v>0</v>
      </c>
      <c r="I484" s="619">
        <v>0</v>
      </c>
      <c r="J484" s="619">
        <v>14.151300000000001</v>
      </c>
      <c r="K484" s="619">
        <v>7.4280999999999997</v>
      </c>
    </row>
    <row r="485" spans="1:11" ht="9" customHeight="1" x14ac:dyDescent="0.25">
      <c r="A485" s="617" t="s">
        <v>1373</v>
      </c>
      <c r="B485" s="618" t="s">
        <v>1374</v>
      </c>
      <c r="C485" s="928"/>
      <c r="D485" s="928"/>
      <c r="E485" s="928"/>
      <c r="F485" s="928"/>
      <c r="G485" s="928"/>
      <c r="H485" s="928"/>
      <c r="I485" s="928"/>
      <c r="J485" s="619">
        <v>264.62029999999999</v>
      </c>
      <c r="K485" s="619">
        <v>66.866500000000002</v>
      </c>
    </row>
    <row r="486" spans="1:11" ht="18" customHeight="1" x14ac:dyDescent="0.25">
      <c r="A486" s="617" t="s">
        <v>1375</v>
      </c>
      <c r="B486" s="618" t="s">
        <v>1376</v>
      </c>
      <c r="C486" s="619">
        <v>533268.71860000002</v>
      </c>
      <c r="D486" s="619">
        <v>22.854399999999998</v>
      </c>
      <c r="E486" s="619">
        <v>9.4008000000000003</v>
      </c>
      <c r="F486" s="619">
        <v>3.8090999999999999</v>
      </c>
      <c r="G486" s="619">
        <v>34.281599999999997</v>
      </c>
      <c r="H486" s="619">
        <v>157.2467</v>
      </c>
      <c r="I486" s="619">
        <v>22.944199999999999</v>
      </c>
      <c r="J486" s="619">
        <v>250.5368</v>
      </c>
      <c r="K486" s="619">
        <v>59.008499999999998</v>
      </c>
    </row>
    <row r="487" spans="1:11" ht="9" customHeight="1" x14ac:dyDescent="0.25">
      <c r="A487" s="617" t="s">
        <v>1377</v>
      </c>
      <c r="B487" s="618" t="s">
        <v>1378</v>
      </c>
      <c r="C487" s="619">
        <v>90270</v>
      </c>
      <c r="D487" s="619">
        <v>6.2255000000000003</v>
      </c>
      <c r="E487" s="619">
        <v>1.6325000000000001</v>
      </c>
      <c r="F487" s="619">
        <v>0</v>
      </c>
      <c r="G487" s="619">
        <v>6.2255000000000003</v>
      </c>
      <c r="H487" s="619">
        <v>0</v>
      </c>
      <c r="I487" s="619">
        <v>0</v>
      </c>
      <c r="J487" s="619">
        <v>14.083500000000001</v>
      </c>
      <c r="K487" s="619">
        <v>7.8579999999999997</v>
      </c>
    </row>
    <row r="488" spans="1:11" ht="9" customHeight="1" x14ac:dyDescent="0.25">
      <c r="A488" s="617" t="s">
        <v>441</v>
      </c>
      <c r="B488" s="618" t="s">
        <v>1379</v>
      </c>
      <c r="C488" s="928"/>
      <c r="D488" s="928"/>
      <c r="E488" s="928"/>
      <c r="F488" s="928"/>
      <c r="G488" s="928"/>
      <c r="H488" s="928"/>
      <c r="I488" s="928"/>
      <c r="J488" s="619">
        <v>742.7817</v>
      </c>
      <c r="K488" s="619">
        <v>220.1037</v>
      </c>
    </row>
    <row r="489" spans="1:11" ht="9" customHeight="1" x14ac:dyDescent="0.25">
      <c r="A489" s="617" t="s">
        <v>1380</v>
      </c>
      <c r="B489" s="618" t="s">
        <v>1381</v>
      </c>
      <c r="C489" s="619">
        <v>747719.0368</v>
      </c>
      <c r="D489" s="619">
        <v>32.045099999999998</v>
      </c>
      <c r="E489" s="619">
        <v>13.1812</v>
      </c>
      <c r="F489" s="619">
        <v>5.3409000000000004</v>
      </c>
      <c r="G489" s="619">
        <v>48.067700000000002</v>
      </c>
      <c r="H489" s="619">
        <v>277.49419999999998</v>
      </c>
      <c r="I489" s="619">
        <v>27.6343</v>
      </c>
      <c r="J489" s="619">
        <v>403.76339999999999</v>
      </c>
      <c r="K489" s="619">
        <v>78.201499999999996</v>
      </c>
    </row>
    <row r="490" spans="1:11" ht="9" customHeight="1" x14ac:dyDescent="0.25">
      <c r="A490" s="617" t="s">
        <v>1382</v>
      </c>
      <c r="B490" s="618" t="s">
        <v>1383</v>
      </c>
      <c r="C490" s="619">
        <v>1256317.68</v>
      </c>
      <c r="D490" s="619">
        <v>80.763300000000001</v>
      </c>
      <c r="E490" s="619">
        <v>24.915500000000002</v>
      </c>
      <c r="F490" s="619">
        <v>0</v>
      </c>
      <c r="G490" s="619">
        <v>80.763300000000001</v>
      </c>
      <c r="H490" s="619">
        <v>116.3528</v>
      </c>
      <c r="I490" s="619">
        <v>36.223399999999998</v>
      </c>
      <c r="J490" s="619">
        <v>339.01830000000001</v>
      </c>
      <c r="K490" s="619">
        <v>141.90219999999999</v>
      </c>
    </row>
    <row r="491" spans="1:11" ht="9" customHeight="1" x14ac:dyDescent="0.25">
      <c r="A491" s="617" t="s">
        <v>171</v>
      </c>
      <c r="B491" s="618" t="s">
        <v>1384</v>
      </c>
      <c r="C491" s="928"/>
      <c r="D491" s="928"/>
      <c r="E491" s="928"/>
      <c r="F491" s="928"/>
      <c r="G491" s="928"/>
      <c r="H491" s="928"/>
      <c r="I491" s="928"/>
      <c r="J491" s="619">
        <v>313.56240000000003</v>
      </c>
      <c r="K491" s="619">
        <v>92.507800000000003</v>
      </c>
    </row>
    <row r="492" spans="1:11" ht="9" customHeight="1" x14ac:dyDescent="0.25">
      <c r="A492" s="617" t="s">
        <v>1313</v>
      </c>
      <c r="B492" s="618" t="s">
        <v>1314</v>
      </c>
      <c r="C492" s="619">
        <v>705572.05070000002</v>
      </c>
      <c r="D492" s="619">
        <v>30.238800000000001</v>
      </c>
      <c r="E492" s="619">
        <v>12.4382</v>
      </c>
      <c r="F492" s="619">
        <v>5.0397999999999996</v>
      </c>
      <c r="G492" s="619">
        <v>45.358199999999997</v>
      </c>
      <c r="H492" s="619">
        <v>160.1677</v>
      </c>
      <c r="I492" s="619">
        <v>27.6343</v>
      </c>
      <c r="J492" s="619">
        <v>280.87700000000001</v>
      </c>
      <c r="K492" s="619">
        <v>75.351100000000002</v>
      </c>
    </row>
    <row r="493" spans="1:11" ht="9" customHeight="1" x14ac:dyDescent="0.25">
      <c r="A493" s="617" t="s">
        <v>1277</v>
      </c>
      <c r="B493" s="618" t="s">
        <v>1278</v>
      </c>
      <c r="C493" s="619">
        <v>182894.041</v>
      </c>
      <c r="D493" s="619">
        <v>13.8033</v>
      </c>
      <c r="E493" s="619">
        <v>3.3534000000000002</v>
      </c>
      <c r="F493" s="619">
        <v>0</v>
      </c>
      <c r="G493" s="619">
        <v>15.528700000000001</v>
      </c>
      <c r="H493" s="619">
        <v>0</v>
      </c>
      <c r="I493" s="619">
        <v>0</v>
      </c>
      <c r="J493" s="619">
        <v>32.685400000000001</v>
      </c>
      <c r="K493" s="619">
        <v>17.156700000000001</v>
      </c>
    </row>
    <row r="494" spans="1:11" ht="9" customHeight="1" x14ac:dyDescent="0.25">
      <c r="A494" s="617" t="s">
        <v>1385</v>
      </c>
      <c r="B494" s="618" t="s">
        <v>1386</v>
      </c>
      <c r="C494" s="928"/>
      <c r="D494" s="928"/>
      <c r="E494" s="928"/>
      <c r="F494" s="928"/>
      <c r="G494" s="928"/>
      <c r="H494" s="928"/>
      <c r="I494" s="928"/>
      <c r="J494" s="619">
        <v>1430.9562000000001</v>
      </c>
      <c r="K494" s="619">
        <v>579.12909999999999</v>
      </c>
    </row>
    <row r="495" spans="1:11" ht="9" customHeight="1" x14ac:dyDescent="0.25">
      <c r="A495" s="617" t="s">
        <v>1265</v>
      </c>
      <c r="B495" s="618" t="s">
        <v>1266</v>
      </c>
      <c r="C495" s="619">
        <v>4681360.2869999995</v>
      </c>
      <c r="D495" s="619">
        <v>200.62970000000001</v>
      </c>
      <c r="E495" s="619">
        <v>82.525700000000001</v>
      </c>
      <c r="F495" s="619">
        <v>33.438299999999998</v>
      </c>
      <c r="G495" s="619">
        <v>300.94459999999998</v>
      </c>
      <c r="H495" s="619">
        <v>374.86059999999998</v>
      </c>
      <c r="I495" s="619">
        <v>27.6343</v>
      </c>
      <c r="J495" s="619">
        <v>1020.0332</v>
      </c>
      <c r="K495" s="619">
        <v>344.22800000000001</v>
      </c>
    </row>
    <row r="496" spans="1:11" ht="9" customHeight="1" x14ac:dyDescent="0.25">
      <c r="A496" s="617" t="s">
        <v>1387</v>
      </c>
      <c r="B496" s="618" t="s">
        <v>1388</v>
      </c>
      <c r="C496" s="619">
        <v>933599.52130000002</v>
      </c>
      <c r="D496" s="619">
        <v>62.24</v>
      </c>
      <c r="E496" s="619">
        <v>31.201699999999999</v>
      </c>
      <c r="F496" s="619">
        <v>0</v>
      </c>
      <c r="G496" s="619">
        <v>70.02</v>
      </c>
      <c r="H496" s="619">
        <v>0</v>
      </c>
      <c r="I496" s="619">
        <v>0</v>
      </c>
      <c r="J496" s="619">
        <v>163.46170000000001</v>
      </c>
      <c r="K496" s="619">
        <v>93.441699999999997</v>
      </c>
    </row>
    <row r="497" spans="1:11" ht="9" customHeight="1" x14ac:dyDescent="0.25">
      <c r="A497" s="617" t="s">
        <v>1253</v>
      </c>
      <c r="B497" s="618" t="s">
        <v>1254</v>
      </c>
      <c r="C497" s="619">
        <v>303051.7058</v>
      </c>
      <c r="D497" s="619">
        <v>20.203399999999998</v>
      </c>
      <c r="E497" s="619">
        <v>10.1282</v>
      </c>
      <c r="F497" s="619">
        <v>0</v>
      </c>
      <c r="G497" s="619">
        <v>22.728899999999999</v>
      </c>
      <c r="H497" s="619">
        <v>0</v>
      </c>
      <c r="I497" s="619">
        <v>0</v>
      </c>
      <c r="J497" s="619">
        <v>53.060499999999998</v>
      </c>
      <c r="K497" s="619">
        <v>30.331600000000002</v>
      </c>
    </row>
    <row r="498" spans="1:11" ht="9" customHeight="1" x14ac:dyDescent="0.25">
      <c r="A498" s="617" t="s">
        <v>1389</v>
      </c>
      <c r="B498" s="618" t="s">
        <v>1390</v>
      </c>
      <c r="C498" s="619">
        <v>1110306.0549999999</v>
      </c>
      <c r="D498" s="619">
        <v>74.020399999999995</v>
      </c>
      <c r="E498" s="619">
        <v>37.107399999999998</v>
      </c>
      <c r="F498" s="619">
        <v>0</v>
      </c>
      <c r="G498" s="619">
        <v>83.272999999999996</v>
      </c>
      <c r="H498" s="619">
        <v>0</v>
      </c>
      <c r="I498" s="619">
        <v>0</v>
      </c>
      <c r="J498" s="619">
        <v>194.4008</v>
      </c>
      <c r="K498" s="619">
        <v>111.12779999999999</v>
      </c>
    </row>
    <row r="499" spans="1:11" ht="9" customHeight="1" x14ac:dyDescent="0.25">
      <c r="A499" s="617" t="s">
        <v>1391</v>
      </c>
      <c r="B499" s="618" t="s">
        <v>1392</v>
      </c>
      <c r="C499" s="928"/>
      <c r="D499" s="928"/>
      <c r="E499" s="928"/>
      <c r="F499" s="928"/>
      <c r="G499" s="928"/>
      <c r="H499" s="928"/>
      <c r="I499" s="928"/>
      <c r="J499" s="619">
        <v>341.52789999999999</v>
      </c>
      <c r="K499" s="619">
        <v>75.614500000000007</v>
      </c>
    </row>
    <row r="500" spans="1:11" ht="18" customHeight="1" x14ac:dyDescent="0.25">
      <c r="A500" s="617" t="s">
        <v>1307</v>
      </c>
      <c r="B500" s="618" t="s">
        <v>1308</v>
      </c>
      <c r="C500" s="619">
        <v>636488.37560000003</v>
      </c>
      <c r="D500" s="619">
        <v>27.278099999999998</v>
      </c>
      <c r="E500" s="619">
        <v>11.2204</v>
      </c>
      <c r="F500" s="619">
        <v>4.5462999999999996</v>
      </c>
      <c r="G500" s="619">
        <v>40.917099999999998</v>
      </c>
      <c r="H500" s="619">
        <v>217.37049999999999</v>
      </c>
      <c r="I500" s="619">
        <v>22.944199999999999</v>
      </c>
      <c r="J500" s="619">
        <v>324.27659999999997</v>
      </c>
      <c r="K500" s="619">
        <v>65.989000000000004</v>
      </c>
    </row>
    <row r="501" spans="1:11" ht="9" customHeight="1" x14ac:dyDescent="0.25">
      <c r="A501" s="617" t="s">
        <v>1393</v>
      </c>
      <c r="B501" s="618" t="s">
        <v>1394</v>
      </c>
      <c r="C501" s="619">
        <v>110573.5194</v>
      </c>
      <c r="D501" s="619">
        <v>7.6257999999999999</v>
      </c>
      <c r="E501" s="619">
        <v>1.9997</v>
      </c>
      <c r="F501" s="619">
        <v>0</v>
      </c>
      <c r="G501" s="619">
        <v>7.6257999999999999</v>
      </c>
      <c r="H501" s="619">
        <v>0</v>
      </c>
      <c r="I501" s="619">
        <v>0</v>
      </c>
      <c r="J501" s="619">
        <v>17.251300000000001</v>
      </c>
      <c r="K501" s="619">
        <v>9.6255000000000006</v>
      </c>
    </row>
    <row r="502" spans="1:11" ht="9" customHeight="1" x14ac:dyDescent="0.25">
      <c r="A502" s="617" t="s">
        <v>179</v>
      </c>
      <c r="B502" s="618" t="s">
        <v>1395</v>
      </c>
      <c r="C502" s="928"/>
      <c r="D502" s="928"/>
      <c r="E502" s="928"/>
      <c r="F502" s="928"/>
      <c r="G502" s="928"/>
      <c r="H502" s="928"/>
      <c r="I502" s="928"/>
      <c r="J502" s="619">
        <v>309.23719999999997</v>
      </c>
      <c r="K502" s="619">
        <v>102.7287</v>
      </c>
    </row>
    <row r="503" spans="1:11" ht="9" customHeight="1" x14ac:dyDescent="0.25">
      <c r="A503" s="617" t="s">
        <v>1396</v>
      </c>
      <c r="B503" s="618" t="s">
        <v>1397</v>
      </c>
      <c r="C503" s="619">
        <v>533268.71860000002</v>
      </c>
      <c r="D503" s="619">
        <v>22.854399999999998</v>
      </c>
      <c r="E503" s="619">
        <v>9.4008000000000003</v>
      </c>
      <c r="F503" s="619">
        <v>3.8090999999999999</v>
      </c>
      <c r="G503" s="619">
        <v>34.281599999999997</v>
      </c>
      <c r="H503" s="619">
        <v>157.2467</v>
      </c>
      <c r="I503" s="619">
        <v>27.6343</v>
      </c>
      <c r="J503" s="619">
        <v>255.2269</v>
      </c>
      <c r="K503" s="619">
        <v>63.698599999999999</v>
      </c>
    </row>
    <row r="504" spans="1:11" ht="9" customHeight="1" x14ac:dyDescent="0.25">
      <c r="A504" s="617" t="s">
        <v>1398</v>
      </c>
      <c r="B504" s="618" t="s">
        <v>1399</v>
      </c>
      <c r="C504" s="619">
        <v>21990.439699999999</v>
      </c>
      <c r="D504" s="619">
        <v>1.5165999999999999</v>
      </c>
      <c r="E504" s="619">
        <v>0.3977</v>
      </c>
      <c r="F504" s="619">
        <v>0</v>
      </c>
      <c r="G504" s="619">
        <v>1.5165999999999999</v>
      </c>
      <c r="H504" s="619">
        <v>0</v>
      </c>
      <c r="I504" s="619">
        <v>0</v>
      </c>
      <c r="J504" s="619">
        <v>3.4308999999999998</v>
      </c>
      <c r="K504" s="619">
        <v>1.9142999999999999</v>
      </c>
    </row>
    <row r="505" spans="1:11" ht="9" customHeight="1" x14ac:dyDescent="0.25">
      <c r="A505" s="617" t="s">
        <v>1207</v>
      </c>
      <c r="B505" s="618" t="s">
        <v>1208</v>
      </c>
      <c r="C505" s="619">
        <v>195222.8173</v>
      </c>
      <c r="D505" s="619">
        <v>13.4636</v>
      </c>
      <c r="E505" s="619">
        <v>3.5305</v>
      </c>
      <c r="F505" s="619">
        <v>0</v>
      </c>
      <c r="G505" s="619">
        <v>13.4636</v>
      </c>
      <c r="H505" s="619">
        <v>0</v>
      </c>
      <c r="I505" s="619">
        <v>20.121700000000001</v>
      </c>
      <c r="J505" s="619">
        <v>50.5794</v>
      </c>
      <c r="K505" s="619">
        <v>37.1158</v>
      </c>
    </row>
    <row r="506" spans="1:11" ht="9" customHeight="1" x14ac:dyDescent="0.25">
      <c r="A506" s="617" t="s">
        <v>1400</v>
      </c>
      <c r="B506" s="618" t="s">
        <v>1401</v>
      </c>
      <c r="C506" s="928"/>
      <c r="D506" s="928"/>
      <c r="E506" s="928"/>
      <c r="F506" s="928"/>
      <c r="G506" s="928"/>
      <c r="H506" s="928"/>
      <c r="I506" s="928"/>
      <c r="J506" s="619">
        <v>146.50710000000001</v>
      </c>
      <c r="K506" s="619">
        <v>50.556699999999999</v>
      </c>
    </row>
    <row r="507" spans="1:11" ht="9" customHeight="1" x14ac:dyDescent="0.25">
      <c r="A507" s="617" t="s">
        <v>1402</v>
      </c>
      <c r="B507" s="618" t="s">
        <v>1403</v>
      </c>
      <c r="C507" s="619">
        <v>382206.15480000002</v>
      </c>
      <c r="D507" s="619">
        <v>16.380299999999998</v>
      </c>
      <c r="E507" s="619">
        <v>6.7377000000000002</v>
      </c>
      <c r="F507" s="619">
        <v>2.73</v>
      </c>
      <c r="G507" s="619">
        <v>24.570399999999999</v>
      </c>
      <c r="H507" s="619">
        <v>69.982100000000003</v>
      </c>
      <c r="I507" s="619">
        <v>22.944199999999999</v>
      </c>
      <c r="J507" s="619">
        <v>143.34469999999999</v>
      </c>
      <c r="K507" s="619">
        <v>48.792200000000001</v>
      </c>
    </row>
    <row r="508" spans="1:11" ht="9" customHeight="1" x14ac:dyDescent="0.25">
      <c r="A508" s="617" t="s">
        <v>1404</v>
      </c>
      <c r="B508" s="618" t="s">
        <v>1405</v>
      </c>
      <c r="C508" s="619">
        <v>20270.228800000001</v>
      </c>
      <c r="D508" s="619">
        <v>1.3978999999999999</v>
      </c>
      <c r="E508" s="619">
        <v>0.36659999999999998</v>
      </c>
      <c r="F508" s="619">
        <v>0</v>
      </c>
      <c r="G508" s="619">
        <v>1.3978999999999999</v>
      </c>
      <c r="H508" s="619">
        <v>0</v>
      </c>
      <c r="I508" s="619">
        <v>0</v>
      </c>
      <c r="J508" s="619">
        <v>3.1623999999999999</v>
      </c>
      <c r="K508" s="619">
        <v>1.7645</v>
      </c>
    </row>
    <row r="509" spans="1:11" ht="9" customHeight="1" x14ac:dyDescent="0.25">
      <c r="A509" s="617" t="s">
        <v>1406</v>
      </c>
      <c r="B509" s="618" t="s">
        <v>1407</v>
      </c>
      <c r="C509" s="928"/>
      <c r="D509" s="928"/>
      <c r="E509" s="928"/>
      <c r="F509" s="928"/>
      <c r="G509" s="928"/>
      <c r="H509" s="928"/>
      <c r="I509" s="928"/>
      <c r="J509" s="619">
        <v>331.23340000000002</v>
      </c>
      <c r="K509" s="619">
        <v>123.8963</v>
      </c>
    </row>
    <row r="510" spans="1:11" ht="9" customHeight="1" x14ac:dyDescent="0.25">
      <c r="A510" s="617" t="s">
        <v>1396</v>
      </c>
      <c r="B510" s="618" t="s">
        <v>1397</v>
      </c>
      <c r="C510" s="619">
        <v>533268.71860000002</v>
      </c>
      <c r="D510" s="619">
        <v>22.854399999999998</v>
      </c>
      <c r="E510" s="619">
        <v>9.4008000000000003</v>
      </c>
      <c r="F510" s="619">
        <v>3.8090999999999999</v>
      </c>
      <c r="G510" s="619">
        <v>34.281599999999997</v>
      </c>
      <c r="H510" s="619">
        <v>157.2467</v>
      </c>
      <c r="I510" s="619">
        <v>27.6343</v>
      </c>
      <c r="J510" s="619">
        <v>255.2269</v>
      </c>
      <c r="K510" s="619">
        <v>63.698599999999999</v>
      </c>
    </row>
    <row r="511" spans="1:11" ht="9" customHeight="1" x14ac:dyDescent="0.25">
      <c r="A511" s="617" t="s">
        <v>1408</v>
      </c>
      <c r="B511" s="618" t="s">
        <v>1409</v>
      </c>
      <c r="C511" s="619">
        <v>24327.764999999999</v>
      </c>
      <c r="D511" s="619">
        <v>1.6778</v>
      </c>
      <c r="E511" s="619">
        <v>0.44</v>
      </c>
      <c r="F511" s="619">
        <v>0</v>
      </c>
      <c r="G511" s="619">
        <v>1.6778</v>
      </c>
      <c r="H511" s="619">
        <v>0</v>
      </c>
      <c r="I511" s="619">
        <v>0</v>
      </c>
      <c r="J511" s="619">
        <v>3.7955999999999999</v>
      </c>
      <c r="K511" s="619">
        <v>2.1177999999999999</v>
      </c>
    </row>
    <row r="512" spans="1:11" ht="9" customHeight="1" x14ac:dyDescent="0.25">
      <c r="A512" s="617" t="s">
        <v>1410</v>
      </c>
      <c r="B512" s="618" t="s">
        <v>1411</v>
      </c>
      <c r="C512" s="619">
        <v>170510</v>
      </c>
      <c r="D512" s="619">
        <v>11.7593</v>
      </c>
      <c r="E512" s="619">
        <v>3.0836000000000001</v>
      </c>
      <c r="F512" s="619">
        <v>0</v>
      </c>
      <c r="G512" s="619">
        <v>11.7593</v>
      </c>
      <c r="H512" s="619">
        <v>0</v>
      </c>
      <c r="I512" s="619">
        <v>40.243400000000001</v>
      </c>
      <c r="J512" s="619">
        <v>66.845600000000005</v>
      </c>
      <c r="K512" s="619">
        <v>55.086300000000001</v>
      </c>
    </row>
    <row r="513" spans="1:11" ht="9" customHeight="1" x14ac:dyDescent="0.25">
      <c r="A513" s="617" t="s">
        <v>1295</v>
      </c>
      <c r="B513" s="618" t="s">
        <v>1296</v>
      </c>
      <c r="C513" s="619">
        <v>34388.985999999997</v>
      </c>
      <c r="D513" s="619">
        <v>2.3717000000000001</v>
      </c>
      <c r="E513" s="619">
        <v>0.62190000000000001</v>
      </c>
      <c r="F513" s="619">
        <v>0</v>
      </c>
      <c r="G513" s="619">
        <v>2.3717000000000001</v>
      </c>
      <c r="H513" s="619">
        <v>0</v>
      </c>
      <c r="I513" s="619">
        <v>0</v>
      </c>
      <c r="J513" s="619">
        <v>5.3653000000000004</v>
      </c>
      <c r="K513" s="619">
        <v>2.9935999999999998</v>
      </c>
    </row>
    <row r="514" spans="1:11" ht="9" customHeight="1" x14ac:dyDescent="0.25">
      <c r="A514" s="617" t="s">
        <v>1412</v>
      </c>
      <c r="B514" s="618" t="s">
        <v>1413</v>
      </c>
      <c r="C514" s="928"/>
      <c r="D514" s="928"/>
      <c r="E514" s="928"/>
      <c r="F514" s="928"/>
      <c r="G514" s="928"/>
      <c r="H514" s="928"/>
      <c r="I514" s="928"/>
      <c r="J514" s="619">
        <v>788.04340000000002</v>
      </c>
      <c r="K514" s="619">
        <v>401.10980000000001</v>
      </c>
    </row>
    <row r="515" spans="1:11" ht="18" customHeight="1" x14ac:dyDescent="0.25">
      <c r="A515" s="617" t="s">
        <v>1414</v>
      </c>
      <c r="B515" s="618" t="s">
        <v>1415</v>
      </c>
      <c r="C515" s="619">
        <v>382206.15480000002</v>
      </c>
      <c r="D515" s="619">
        <v>16.380299999999998</v>
      </c>
      <c r="E515" s="619">
        <v>6.7377000000000002</v>
      </c>
      <c r="F515" s="619">
        <v>2.73</v>
      </c>
      <c r="G515" s="619">
        <v>24.570399999999999</v>
      </c>
      <c r="H515" s="619">
        <v>132.96600000000001</v>
      </c>
      <c r="I515" s="619">
        <v>22.944199999999999</v>
      </c>
      <c r="J515" s="619">
        <v>206.32859999999999</v>
      </c>
      <c r="K515" s="619">
        <v>48.792200000000001</v>
      </c>
    </row>
    <row r="516" spans="1:11" ht="9" customHeight="1" x14ac:dyDescent="0.25">
      <c r="A516" s="617" t="s">
        <v>1416</v>
      </c>
      <c r="B516" s="618" t="s">
        <v>1417</v>
      </c>
      <c r="C516" s="619">
        <v>3225898.75</v>
      </c>
      <c r="D516" s="619">
        <v>243.7346</v>
      </c>
      <c r="E516" s="619">
        <v>88.461299999999994</v>
      </c>
      <c r="F516" s="619">
        <v>0</v>
      </c>
      <c r="G516" s="619">
        <v>229.3972</v>
      </c>
      <c r="H516" s="619">
        <v>0</v>
      </c>
      <c r="I516" s="619">
        <v>20.121700000000001</v>
      </c>
      <c r="J516" s="619">
        <v>581.71479999999997</v>
      </c>
      <c r="K516" s="619">
        <v>352.31760000000003</v>
      </c>
    </row>
    <row r="517" spans="1:11" ht="9" customHeight="1" x14ac:dyDescent="0.25">
      <c r="A517" s="617" t="s">
        <v>1418</v>
      </c>
      <c r="B517" s="618" t="s">
        <v>1419</v>
      </c>
      <c r="C517" s="928"/>
      <c r="D517" s="928"/>
      <c r="E517" s="928"/>
      <c r="F517" s="928"/>
      <c r="G517" s="928"/>
      <c r="H517" s="928"/>
      <c r="I517" s="928"/>
      <c r="J517" s="619">
        <v>302.92939999999999</v>
      </c>
      <c r="K517" s="619">
        <v>113.91540000000001</v>
      </c>
    </row>
    <row r="518" spans="1:11" ht="9" customHeight="1" x14ac:dyDescent="0.25">
      <c r="A518" s="617" t="s">
        <v>1420</v>
      </c>
      <c r="B518" s="618" t="s">
        <v>1421</v>
      </c>
      <c r="C518" s="619">
        <v>358170.02679999999</v>
      </c>
      <c r="D518" s="619">
        <v>15.350099999999999</v>
      </c>
      <c r="E518" s="619">
        <v>6.3140000000000001</v>
      </c>
      <c r="F518" s="619">
        <v>2.5583999999999998</v>
      </c>
      <c r="G518" s="619">
        <v>23.025200000000002</v>
      </c>
      <c r="H518" s="619">
        <v>132.96600000000001</v>
      </c>
      <c r="I518" s="619">
        <v>27.6343</v>
      </c>
      <c r="J518" s="619">
        <v>207.84800000000001</v>
      </c>
      <c r="K518" s="619">
        <v>51.8568</v>
      </c>
    </row>
    <row r="519" spans="1:11" ht="9" customHeight="1" x14ac:dyDescent="0.25">
      <c r="A519" s="617" t="s">
        <v>1422</v>
      </c>
      <c r="B519" s="618" t="s">
        <v>1423</v>
      </c>
      <c r="C519" s="619">
        <v>495341.58</v>
      </c>
      <c r="D519" s="619">
        <v>33.022799999999997</v>
      </c>
      <c r="E519" s="619">
        <v>8.9140999999999995</v>
      </c>
      <c r="F519" s="619">
        <v>0</v>
      </c>
      <c r="G519" s="619">
        <v>33.022799999999997</v>
      </c>
      <c r="H519" s="619">
        <v>0</v>
      </c>
      <c r="I519" s="619">
        <v>20.121700000000001</v>
      </c>
      <c r="J519" s="619">
        <v>95.081400000000002</v>
      </c>
      <c r="K519" s="619">
        <v>62.058599999999998</v>
      </c>
    </row>
    <row r="520" spans="1:11" ht="9" customHeight="1" x14ac:dyDescent="0.25">
      <c r="A520" s="617" t="s">
        <v>1424</v>
      </c>
      <c r="B520" s="618" t="s">
        <v>1425</v>
      </c>
      <c r="C520" s="928"/>
      <c r="D520" s="928"/>
      <c r="E520" s="928"/>
      <c r="F520" s="928"/>
      <c r="G520" s="928"/>
      <c r="H520" s="928"/>
      <c r="I520" s="928"/>
      <c r="J520" s="619">
        <v>559.70420000000001</v>
      </c>
      <c r="K520" s="619">
        <v>247.95679999999999</v>
      </c>
    </row>
    <row r="521" spans="1:11" ht="9" customHeight="1" x14ac:dyDescent="0.25">
      <c r="A521" s="617" t="s">
        <v>1396</v>
      </c>
      <c r="B521" s="618" t="s">
        <v>1397</v>
      </c>
      <c r="C521" s="619">
        <v>533268.71860000002</v>
      </c>
      <c r="D521" s="619">
        <v>22.854399999999998</v>
      </c>
      <c r="E521" s="619">
        <v>9.4008000000000003</v>
      </c>
      <c r="F521" s="619">
        <v>3.8090999999999999</v>
      </c>
      <c r="G521" s="619">
        <v>34.281599999999997</v>
      </c>
      <c r="H521" s="619">
        <v>157.2467</v>
      </c>
      <c r="I521" s="619">
        <v>27.6343</v>
      </c>
      <c r="J521" s="619">
        <v>255.2269</v>
      </c>
      <c r="K521" s="619">
        <v>63.698599999999999</v>
      </c>
    </row>
    <row r="522" spans="1:11" ht="9" customHeight="1" x14ac:dyDescent="0.25">
      <c r="A522" s="617" t="s">
        <v>1426</v>
      </c>
      <c r="B522" s="618" t="s">
        <v>1427</v>
      </c>
      <c r="C522" s="619">
        <v>1502739.2479999999</v>
      </c>
      <c r="D522" s="619">
        <v>120.2191</v>
      </c>
      <c r="E522" s="619">
        <v>27.8157</v>
      </c>
      <c r="F522" s="619">
        <v>0</v>
      </c>
      <c r="G522" s="619">
        <v>120.2191</v>
      </c>
      <c r="H522" s="619">
        <v>0</v>
      </c>
      <c r="I522" s="619">
        <v>36.223399999999998</v>
      </c>
      <c r="J522" s="619">
        <v>304.47730000000001</v>
      </c>
      <c r="K522" s="619">
        <v>184.25819999999999</v>
      </c>
    </row>
    <row r="523" spans="1:11" ht="9" customHeight="1" x14ac:dyDescent="0.25">
      <c r="A523" s="617" t="s">
        <v>1428</v>
      </c>
      <c r="B523" s="618" t="s">
        <v>1429</v>
      </c>
      <c r="C523" s="928"/>
      <c r="D523" s="928"/>
      <c r="E523" s="928"/>
      <c r="F523" s="928"/>
      <c r="G523" s="928"/>
      <c r="H523" s="928"/>
      <c r="I523" s="928"/>
      <c r="J523" s="619">
        <v>317.57010000000002</v>
      </c>
      <c r="K523" s="619">
        <v>103.8163</v>
      </c>
    </row>
    <row r="524" spans="1:11" ht="18" customHeight="1" x14ac:dyDescent="0.25">
      <c r="A524" s="617" t="s">
        <v>1203</v>
      </c>
      <c r="B524" s="618" t="s">
        <v>1204</v>
      </c>
      <c r="C524" s="619">
        <v>494831.02909999999</v>
      </c>
      <c r="D524" s="619">
        <v>21.207000000000001</v>
      </c>
      <c r="E524" s="619">
        <v>8.7232000000000003</v>
      </c>
      <c r="F524" s="619">
        <v>3.5345</v>
      </c>
      <c r="G524" s="619">
        <v>31.810600000000001</v>
      </c>
      <c r="H524" s="619">
        <v>157.2467</v>
      </c>
      <c r="I524" s="619">
        <v>22.944199999999999</v>
      </c>
      <c r="J524" s="619">
        <v>245.46619999999999</v>
      </c>
      <c r="K524" s="619">
        <v>56.408900000000003</v>
      </c>
    </row>
    <row r="525" spans="1:11" ht="9" customHeight="1" x14ac:dyDescent="0.25">
      <c r="A525" s="617" t="s">
        <v>1430</v>
      </c>
      <c r="B525" s="618" t="s">
        <v>1431</v>
      </c>
      <c r="C525" s="619">
        <v>290870</v>
      </c>
      <c r="D525" s="619">
        <v>21.952500000000001</v>
      </c>
      <c r="E525" s="619">
        <v>5.3331999999999997</v>
      </c>
      <c r="F525" s="619">
        <v>0</v>
      </c>
      <c r="G525" s="619">
        <v>24.6965</v>
      </c>
      <c r="H525" s="619">
        <v>0</v>
      </c>
      <c r="I525" s="619">
        <v>20.121700000000001</v>
      </c>
      <c r="J525" s="619">
        <v>72.103899999999996</v>
      </c>
      <c r="K525" s="619">
        <v>47.407400000000003</v>
      </c>
    </row>
  </sheetData>
  <mergeCells count="51">
    <mergeCell ref="C377:I377"/>
    <mergeCell ref="B1:J1"/>
    <mergeCell ref="B2:J2"/>
    <mergeCell ref="C367:I367"/>
    <mergeCell ref="C370:I370"/>
    <mergeCell ref="C374:I374"/>
    <mergeCell ref="C414:I414"/>
    <mergeCell ref="C380:I380"/>
    <mergeCell ref="C384:I384"/>
    <mergeCell ref="C389:I389"/>
    <mergeCell ref="C392:I392"/>
    <mergeCell ref="C395:I395"/>
    <mergeCell ref="C398:I398"/>
    <mergeCell ref="C400:I400"/>
    <mergeCell ref="C402:I402"/>
    <mergeCell ref="C404:I404"/>
    <mergeCell ref="C407:I407"/>
    <mergeCell ref="C410:I410"/>
    <mergeCell ref="C454:I454"/>
    <mergeCell ref="C419:I419"/>
    <mergeCell ref="C424:I424"/>
    <mergeCell ref="C427:I427"/>
    <mergeCell ref="C430:I430"/>
    <mergeCell ref="C433:I433"/>
    <mergeCell ref="C436:I436"/>
    <mergeCell ref="C439:I439"/>
    <mergeCell ref="C442:I442"/>
    <mergeCell ref="C445:I445"/>
    <mergeCell ref="C448:I448"/>
    <mergeCell ref="C451:I451"/>
    <mergeCell ref="C491:I491"/>
    <mergeCell ref="C457:I457"/>
    <mergeCell ref="C460:I460"/>
    <mergeCell ref="C463:I463"/>
    <mergeCell ref="C466:I466"/>
    <mergeCell ref="C469:I469"/>
    <mergeCell ref="C473:I473"/>
    <mergeCell ref="C476:I476"/>
    <mergeCell ref="C479:I479"/>
    <mergeCell ref="C482:I482"/>
    <mergeCell ref="C485:I485"/>
    <mergeCell ref="C488:I488"/>
    <mergeCell ref="C517:I517"/>
    <mergeCell ref="C520:I520"/>
    <mergeCell ref="C523:I523"/>
    <mergeCell ref="C494:I494"/>
    <mergeCell ref="C499:I499"/>
    <mergeCell ref="C502:I502"/>
    <mergeCell ref="C506:I506"/>
    <mergeCell ref="C509:I509"/>
    <mergeCell ref="C514:I514"/>
  </mergeCells>
  <pageMargins left="0.51181102362204722" right="0.51181102362204722" top="0.78740157480314965" bottom="0.78740157480314965" header="0.31496062992125984" footer="0.31496062992125984"/>
  <pageSetup paperSize="9" scale="72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0.39997558519241921"/>
    <pageSetUpPr fitToPage="1"/>
  </sheetPr>
  <dimension ref="A1:G115"/>
  <sheetViews>
    <sheetView workbookViewId="0">
      <selection activeCell="B12" sqref="B12"/>
    </sheetView>
  </sheetViews>
  <sheetFormatPr defaultRowHeight="15" x14ac:dyDescent="0.25"/>
  <cols>
    <col min="1" max="1" width="10.7109375" style="614" customWidth="1"/>
    <col min="2" max="2" width="55.7109375" style="614" customWidth="1"/>
    <col min="3" max="3" width="10.7109375" style="614" customWidth="1"/>
    <col min="4" max="4" width="14.7109375" style="614" customWidth="1"/>
    <col min="5" max="5" width="19.7109375" style="614" customWidth="1"/>
    <col min="6" max="6" width="14.28515625" style="614" customWidth="1"/>
    <col min="7" max="7" width="19.7109375" style="614" customWidth="1"/>
    <col min="8" max="16384" width="9.140625" style="614"/>
  </cols>
  <sheetData>
    <row r="1" spans="1:7" ht="21" customHeight="1" x14ac:dyDescent="0.25">
      <c r="A1" s="931" t="s">
        <v>445</v>
      </c>
      <c r="B1" s="933" t="s">
        <v>446</v>
      </c>
      <c r="C1" s="933"/>
      <c r="D1" s="933"/>
      <c r="E1" s="933"/>
      <c r="F1" s="933"/>
      <c r="G1" s="931" t="s">
        <v>447</v>
      </c>
    </row>
    <row r="2" spans="1:7" ht="9.75" customHeight="1" x14ac:dyDescent="0.25">
      <c r="A2" s="932"/>
      <c r="B2" s="933"/>
      <c r="C2" s="933"/>
      <c r="D2" s="933"/>
      <c r="E2" s="933"/>
      <c r="F2" s="933"/>
      <c r="G2" s="934"/>
    </row>
    <row r="3" spans="1:7" ht="16.899999999999999" customHeight="1" x14ac:dyDescent="0.25">
      <c r="A3" s="935" t="s">
        <v>448</v>
      </c>
      <c r="B3" s="935"/>
      <c r="C3" s="935"/>
      <c r="D3" s="935"/>
      <c r="E3" s="935"/>
      <c r="F3" s="935"/>
      <c r="G3" s="935"/>
    </row>
    <row r="4" spans="1:7" ht="16.899999999999999" customHeight="1" x14ac:dyDescent="0.25">
      <c r="A4" s="935" t="s">
        <v>1432</v>
      </c>
      <c r="B4" s="935"/>
      <c r="C4" s="935"/>
      <c r="D4" s="935"/>
      <c r="E4" s="935"/>
      <c r="F4" s="935"/>
      <c r="G4" s="935"/>
    </row>
    <row r="5" spans="1:7" ht="34.5" customHeight="1" x14ac:dyDescent="0.25">
      <c r="A5" s="620" t="s">
        <v>449</v>
      </c>
      <c r="B5" s="620" t="s">
        <v>450</v>
      </c>
      <c r="C5" s="620" t="s">
        <v>93</v>
      </c>
      <c r="D5" s="620" t="s">
        <v>1433</v>
      </c>
      <c r="E5" s="620" t="s">
        <v>1434</v>
      </c>
      <c r="F5" s="620" t="s">
        <v>1435</v>
      </c>
      <c r="G5" s="620" t="s">
        <v>1436</v>
      </c>
    </row>
    <row r="6" spans="1:7" ht="14.1" customHeight="1" x14ac:dyDescent="0.25">
      <c r="A6" s="621" t="s">
        <v>1437</v>
      </c>
      <c r="B6" s="622" t="s">
        <v>1438</v>
      </c>
      <c r="C6" s="623" t="s">
        <v>1439</v>
      </c>
      <c r="D6" s="624">
        <v>6.9394</v>
      </c>
      <c r="E6" s="625">
        <v>1.9148130000000001</v>
      </c>
      <c r="F6" s="624">
        <v>20.227</v>
      </c>
      <c r="G6" s="625">
        <v>0</v>
      </c>
    </row>
    <row r="7" spans="1:7" ht="14.1" customHeight="1" x14ac:dyDescent="0.25">
      <c r="A7" s="621" t="s">
        <v>1440</v>
      </c>
      <c r="B7" s="622" t="s">
        <v>1441</v>
      </c>
      <c r="C7" s="623" t="s">
        <v>1439</v>
      </c>
      <c r="D7" s="624">
        <v>8.3272999999999993</v>
      </c>
      <c r="E7" s="625">
        <v>1.885704</v>
      </c>
      <c r="F7" s="624">
        <v>24.030100000000001</v>
      </c>
      <c r="G7" s="625">
        <v>0</v>
      </c>
    </row>
    <row r="8" spans="1:7" ht="14.1" customHeight="1" x14ac:dyDescent="0.25">
      <c r="A8" s="621" t="s">
        <v>1442</v>
      </c>
      <c r="B8" s="622" t="s">
        <v>1443</v>
      </c>
      <c r="C8" s="623" t="s">
        <v>87</v>
      </c>
      <c r="D8" s="624">
        <v>1881.3824</v>
      </c>
      <c r="E8" s="625">
        <v>1.30288</v>
      </c>
      <c r="F8" s="624">
        <v>4332.5978999999998</v>
      </c>
      <c r="G8" s="625">
        <v>0</v>
      </c>
    </row>
    <row r="9" spans="1:7" ht="14.1" customHeight="1" x14ac:dyDescent="0.25">
      <c r="A9" s="621" t="s">
        <v>1444</v>
      </c>
      <c r="B9" s="622" t="s">
        <v>183</v>
      </c>
      <c r="C9" s="623" t="s">
        <v>87</v>
      </c>
      <c r="D9" s="624">
        <v>1743.11</v>
      </c>
      <c r="E9" s="625">
        <v>1.36755</v>
      </c>
      <c r="F9" s="624">
        <v>4126.8999999999996</v>
      </c>
      <c r="G9" s="625">
        <v>0</v>
      </c>
    </row>
    <row r="10" spans="1:7" ht="14.1" customHeight="1" x14ac:dyDescent="0.25">
      <c r="A10" s="621" t="s">
        <v>1445</v>
      </c>
      <c r="B10" s="622" t="s">
        <v>1446</v>
      </c>
      <c r="C10" s="623" t="s">
        <v>1439</v>
      </c>
      <c r="D10" s="624">
        <v>10.220000000000001</v>
      </c>
      <c r="E10" s="625">
        <v>1.665602</v>
      </c>
      <c r="F10" s="624">
        <v>27.2424</v>
      </c>
      <c r="G10" s="625">
        <v>0</v>
      </c>
    </row>
    <row r="11" spans="1:7" ht="14.1" customHeight="1" x14ac:dyDescent="0.25">
      <c r="A11" s="621" t="s">
        <v>184</v>
      </c>
      <c r="B11" s="622" t="s">
        <v>181</v>
      </c>
      <c r="C11" s="623" t="s">
        <v>87</v>
      </c>
      <c r="D11" s="624">
        <v>1651.1029000000001</v>
      </c>
      <c r="E11" s="625">
        <v>1.371178</v>
      </c>
      <c r="F11" s="624">
        <v>3915.0587999999998</v>
      </c>
      <c r="G11" s="625">
        <v>0</v>
      </c>
    </row>
    <row r="12" spans="1:7" ht="14.1" customHeight="1" x14ac:dyDescent="0.25">
      <c r="A12" s="621" t="s">
        <v>1447</v>
      </c>
      <c r="B12" s="622" t="s">
        <v>1448</v>
      </c>
      <c r="C12" s="623" t="s">
        <v>1439</v>
      </c>
      <c r="D12" s="624">
        <v>11.3413</v>
      </c>
      <c r="E12" s="625">
        <v>1.689678</v>
      </c>
      <c r="F12" s="624">
        <v>30.5044</v>
      </c>
      <c r="G12" s="625">
        <v>0</v>
      </c>
    </row>
    <row r="13" spans="1:7" ht="14.1" customHeight="1" x14ac:dyDescent="0.25">
      <c r="A13" s="621" t="s">
        <v>1449</v>
      </c>
      <c r="B13" s="622" t="s">
        <v>1450</v>
      </c>
      <c r="C13" s="623" t="s">
        <v>1439</v>
      </c>
      <c r="D13" s="624">
        <v>8.0934000000000008</v>
      </c>
      <c r="E13" s="625">
        <v>1.80714</v>
      </c>
      <c r="F13" s="624">
        <v>22.7193</v>
      </c>
      <c r="G13" s="625">
        <v>0</v>
      </c>
    </row>
    <row r="14" spans="1:7" ht="14.1" customHeight="1" x14ac:dyDescent="0.25">
      <c r="A14" s="621" t="s">
        <v>1451</v>
      </c>
      <c r="B14" s="622" t="s">
        <v>1452</v>
      </c>
      <c r="C14" s="623" t="s">
        <v>87</v>
      </c>
      <c r="D14" s="624">
        <v>3969.3868000000002</v>
      </c>
      <c r="E14" s="625">
        <v>0.99151199999999995</v>
      </c>
      <c r="F14" s="624">
        <v>7905.0814</v>
      </c>
      <c r="G14" s="625">
        <v>0</v>
      </c>
    </row>
    <row r="15" spans="1:7" ht="14.1" customHeight="1" x14ac:dyDescent="0.25">
      <c r="A15" s="621" t="s">
        <v>1453</v>
      </c>
      <c r="B15" s="622" t="s">
        <v>1454</v>
      </c>
      <c r="C15" s="623" t="s">
        <v>1439</v>
      </c>
      <c r="D15" s="624">
        <v>8.9</v>
      </c>
      <c r="E15" s="625">
        <v>1.807555</v>
      </c>
      <c r="F15" s="624">
        <v>24.987200000000001</v>
      </c>
      <c r="G15" s="625">
        <v>0</v>
      </c>
    </row>
    <row r="16" spans="1:7" ht="14.1" customHeight="1" x14ac:dyDescent="0.25">
      <c r="A16" s="621" t="s">
        <v>1455</v>
      </c>
      <c r="B16" s="622" t="s">
        <v>1456</v>
      </c>
      <c r="C16" s="623" t="s">
        <v>87</v>
      </c>
      <c r="D16" s="624">
        <v>3531.0279999999998</v>
      </c>
      <c r="E16" s="625">
        <v>1.0423750000000001</v>
      </c>
      <c r="F16" s="624">
        <v>7211.6832999999997</v>
      </c>
      <c r="G16" s="625">
        <v>0</v>
      </c>
    </row>
    <row r="17" spans="1:7" ht="14.1" customHeight="1" x14ac:dyDescent="0.25">
      <c r="A17" s="621" t="s">
        <v>1457</v>
      </c>
      <c r="B17" s="622" t="s">
        <v>1458</v>
      </c>
      <c r="C17" s="623" t="s">
        <v>87</v>
      </c>
      <c r="D17" s="624">
        <v>12841.876899999999</v>
      </c>
      <c r="E17" s="625">
        <v>0.83837499999999998</v>
      </c>
      <c r="F17" s="624">
        <v>23608.185399999998</v>
      </c>
      <c r="G17" s="625">
        <v>0</v>
      </c>
    </row>
    <row r="18" spans="1:7" ht="14.1" customHeight="1" x14ac:dyDescent="0.25">
      <c r="A18" s="621" t="s">
        <v>1459</v>
      </c>
      <c r="B18" s="622" t="s">
        <v>1460</v>
      </c>
      <c r="C18" s="623" t="s">
        <v>87</v>
      </c>
      <c r="D18" s="624">
        <v>1349.3356000000001</v>
      </c>
      <c r="E18" s="625">
        <v>1.490621</v>
      </c>
      <c r="F18" s="624">
        <v>3360.6835000000001</v>
      </c>
      <c r="G18" s="625">
        <v>0</v>
      </c>
    </row>
    <row r="19" spans="1:7" ht="14.1" customHeight="1" x14ac:dyDescent="0.25">
      <c r="A19" s="621" t="s">
        <v>1461</v>
      </c>
      <c r="B19" s="622" t="s">
        <v>1462</v>
      </c>
      <c r="C19" s="623" t="s">
        <v>1439</v>
      </c>
      <c r="D19" s="624">
        <v>7.75</v>
      </c>
      <c r="E19" s="625">
        <v>1.833658</v>
      </c>
      <c r="F19" s="624">
        <v>21.960799999999999</v>
      </c>
      <c r="G19" s="625">
        <v>0</v>
      </c>
    </row>
    <row r="20" spans="1:7" ht="14.1" customHeight="1" x14ac:dyDescent="0.25">
      <c r="A20" s="621" t="s">
        <v>1463</v>
      </c>
      <c r="B20" s="622" t="s">
        <v>1464</v>
      </c>
      <c r="C20" s="623" t="s">
        <v>87</v>
      </c>
      <c r="D20" s="624">
        <v>2725.6062000000002</v>
      </c>
      <c r="E20" s="625">
        <v>1.4182220000000001</v>
      </c>
      <c r="F20" s="624">
        <v>7076.0061999999998</v>
      </c>
      <c r="G20" s="625">
        <v>0.1779</v>
      </c>
    </row>
    <row r="21" spans="1:7" ht="14.1" customHeight="1" x14ac:dyDescent="0.25">
      <c r="A21" s="621" t="s">
        <v>55</v>
      </c>
      <c r="B21" s="622" t="s">
        <v>1465</v>
      </c>
      <c r="C21" s="623" t="s">
        <v>87</v>
      </c>
      <c r="D21" s="624">
        <v>12841.876899999999</v>
      </c>
      <c r="E21" s="625">
        <v>0.83837499999999998</v>
      </c>
      <c r="F21" s="624">
        <v>23608.185399999998</v>
      </c>
      <c r="G21" s="625">
        <v>0</v>
      </c>
    </row>
    <row r="22" spans="1:7" ht="14.1" customHeight="1" x14ac:dyDescent="0.25">
      <c r="A22" s="621" t="s">
        <v>1466</v>
      </c>
      <c r="B22" s="622" t="s">
        <v>1467</v>
      </c>
      <c r="C22" s="623" t="s">
        <v>1439</v>
      </c>
      <c r="D22" s="624">
        <v>7.8909000000000002</v>
      </c>
      <c r="E22" s="625">
        <v>1.8135410000000001</v>
      </c>
      <c r="F22" s="624">
        <v>22.2013</v>
      </c>
      <c r="G22" s="625">
        <v>0</v>
      </c>
    </row>
    <row r="23" spans="1:7" ht="14.1" customHeight="1" x14ac:dyDescent="0.25">
      <c r="A23" s="621" t="s">
        <v>1468</v>
      </c>
      <c r="B23" s="622" t="s">
        <v>1469</v>
      </c>
      <c r="C23" s="623" t="s">
        <v>1439</v>
      </c>
      <c r="D23" s="624">
        <v>8.7316000000000003</v>
      </c>
      <c r="E23" s="625">
        <v>1.7724009999999999</v>
      </c>
      <c r="F23" s="624">
        <v>24.2074</v>
      </c>
      <c r="G23" s="625">
        <v>0</v>
      </c>
    </row>
    <row r="24" spans="1:7" ht="14.1" customHeight="1" x14ac:dyDescent="0.25">
      <c r="A24" s="621" t="s">
        <v>1470</v>
      </c>
      <c r="B24" s="622" t="s">
        <v>1471</v>
      </c>
      <c r="C24" s="623" t="s">
        <v>1439</v>
      </c>
      <c r="D24" s="624">
        <v>8.5993999999999993</v>
      </c>
      <c r="E24" s="625">
        <v>1.7690600000000001</v>
      </c>
      <c r="F24" s="624">
        <v>23.812200000000001</v>
      </c>
      <c r="G24" s="625">
        <v>0</v>
      </c>
    </row>
    <row r="25" spans="1:7" ht="14.1" customHeight="1" x14ac:dyDescent="0.25">
      <c r="A25" s="621" t="s">
        <v>1472</v>
      </c>
      <c r="B25" s="622" t="s">
        <v>1473</v>
      </c>
      <c r="C25" s="623" t="s">
        <v>1439</v>
      </c>
      <c r="D25" s="624">
        <v>6.1702000000000004</v>
      </c>
      <c r="E25" s="625">
        <v>2.013868</v>
      </c>
      <c r="F25" s="624">
        <v>18.5961</v>
      </c>
      <c r="G25" s="625">
        <v>0</v>
      </c>
    </row>
    <row r="26" spans="1:7" ht="14.1" customHeight="1" x14ac:dyDescent="0.25">
      <c r="A26" s="621" t="s">
        <v>1474</v>
      </c>
      <c r="B26" s="622" t="s">
        <v>1475</v>
      </c>
      <c r="C26" s="623" t="s">
        <v>1439</v>
      </c>
      <c r="D26" s="624">
        <v>13.654999999999999</v>
      </c>
      <c r="E26" s="625">
        <v>1.52817</v>
      </c>
      <c r="F26" s="624">
        <v>34.522100000000002</v>
      </c>
      <c r="G26" s="625">
        <v>0</v>
      </c>
    </row>
    <row r="27" spans="1:7" ht="14.1" customHeight="1" x14ac:dyDescent="0.25">
      <c r="A27" s="621" t="s">
        <v>1476</v>
      </c>
      <c r="B27" s="622" t="s">
        <v>1477</v>
      </c>
      <c r="C27" s="623" t="s">
        <v>87</v>
      </c>
      <c r="D27" s="624">
        <v>8389.8561000000009</v>
      </c>
      <c r="E27" s="625">
        <v>0.87951800000000002</v>
      </c>
      <c r="F27" s="624">
        <v>15768.8855</v>
      </c>
      <c r="G27" s="625">
        <v>0</v>
      </c>
    </row>
    <row r="28" spans="1:7" ht="14.1" customHeight="1" x14ac:dyDescent="0.25">
      <c r="A28" s="621" t="s">
        <v>185</v>
      </c>
      <c r="B28" s="622" t="s">
        <v>186</v>
      </c>
      <c r="C28" s="623" t="s">
        <v>87</v>
      </c>
      <c r="D28" s="624">
        <v>1414.4075</v>
      </c>
      <c r="E28" s="625">
        <v>1.706072</v>
      </c>
      <c r="F28" s="624">
        <v>4251.8107</v>
      </c>
      <c r="G28" s="625">
        <v>0.3</v>
      </c>
    </row>
    <row r="29" spans="1:7" ht="14.1" customHeight="1" x14ac:dyDescent="0.25">
      <c r="A29" s="621" t="s">
        <v>1478</v>
      </c>
      <c r="B29" s="622" t="s">
        <v>1479</v>
      </c>
      <c r="C29" s="623" t="s">
        <v>1439</v>
      </c>
      <c r="D29" s="624">
        <v>9.9687000000000001</v>
      </c>
      <c r="E29" s="625">
        <v>1.7712600000000001</v>
      </c>
      <c r="F29" s="624">
        <v>27.625800000000002</v>
      </c>
      <c r="G29" s="625">
        <v>0</v>
      </c>
    </row>
    <row r="30" spans="1:7" ht="14.1" customHeight="1" x14ac:dyDescent="0.25">
      <c r="A30" s="621" t="s">
        <v>1480</v>
      </c>
      <c r="B30" s="622" t="s">
        <v>1481</v>
      </c>
      <c r="C30" s="623" t="s">
        <v>87</v>
      </c>
      <c r="D30" s="624">
        <v>1852.4</v>
      </c>
      <c r="E30" s="625">
        <v>1.300991</v>
      </c>
      <c r="F30" s="624">
        <v>4262.3557000000001</v>
      </c>
      <c r="G30" s="625">
        <v>0</v>
      </c>
    </row>
    <row r="31" spans="1:7" ht="14.1" customHeight="1" x14ac:dyDescent="0.25">
      <c r="A31" s="621" t="s">
        <v>1482</v>
      </c>
      <c r="B31" s="622" t="s">
        <v>1483</v>
      </c>
      <c r="C31" s="623" t="s">
        <v>1439</v>
      </c>
      <c r="D31" s="624">
        <v>6.9394</v>
      </c>
      <c r="E31" s="625">
        <v>2.4751240000000001</v>
      </c>
      <c r="F31" s="624">
        <v>26.319199999999999</v>
      </c>
      <c r="G31" s="625">
        <v>0.31759999999999999</v>
      </c>
    </row>
    <row r="32" spans="1:7" ht="14.1" customHeight="1" x14ac:dyDescent="0.25">
      <c r="A32" s="621" t="s">
        <v>1484</v>
      </c>
      <c r="B32" s="622" t="s">
        <v>1485</v>
      </c>
      <c r="C32" s="623" t="s">
        <v>1439</v>
      </c>
      <c r="D32" s="624">
        <v>53.481000000000002</v>
      </c>
      <c r="E32" s="625">
        <v>1.197749</v>
      </c>
      <c r="F32" s="624">
        <v>117.5378</v>
      </c>
      <c r="G32" s="625">
        <v>0</v>
      </c>
    </row>
    <row r="33" spans="1:7" ht="14.1" customHeight="1" x14ac:dyDescent="0.25">
      <c r="A33" s="621" t="s">
        <v>1486</v>
      </c>
      <c r="B33" s="622" t="s">
        <v>1487</v>
      </c>
      <c r="C33" s="623" t="s">
        <v>87</v>
      </c>
      <c r="D33" s="624">
        <v>3973.1421999999998</v>
      </c>
      <c r="E33" s="625">
        <v>1.005587</v>
      </c>
      <c r="F33" s="624">
        <v>7968.4822999999997</v>
      </c>
      <c r="G33" s="625">
        <v>0</v>
      </c>
    </row>
    <row r="34" spans="1:7" ht="14.1" customHeight="1" x14ac:dyDescent="0.25">
      <c r="A34" s="621" t="s">
        <v>1488</v>
      </c>
      <c r="B34" s="622" t="s">
        <v>1489</v>
      </c>
      <c r="C34" s="623" t="s">
        <v>87</v>
      </c>
      <c r="D34" s="624">
        <v>5628.2894999999999</v>
      </c>
      <c r="E34" s="625">
        <v>0.93659499999999996</v>
      </c>
      <c r="F34" s="624">
        <v>10899.7173</v>
      </c>
      <c r="G34" s="625">
        <v>0</v>
      </c>
    </row>
    <row r="35" spans="1:7" ht="14.1" customHeight="1" x14ac:dyDescent="0.25">
      <c r="A35" s="621" t="s">
        <v>1490</v>
      </c>
      <c r="B35" s="622" t="s">
        <v>1491</v>
      </c>
      <c r="C35" s="623" t="s">
        <v>87</v>
      </c>
      <c r="D35" s="624">
        <v>1453.3785</v>
      </c>
      <c r="E35" s="625">
        <v>1.4749159999999999</v>
      </c>
      <c r="F35" s="624">
        <v>3596.9897000000001</v>
      </c>
      <c r="G35" s="625">
        <v>0</v>
      </c>
    </row>
    <row r="36" spans="1:7" ht="14.1" customHeight="1" x14ac:dyDescent="0.25">
      <c r="A36" s="621" t="s">
        <v>1492</v>
      </c>
      <c r="B36" s="622" t="s">
        <v>1493</v>
      </c>
      <c r="C36" s="623" t="s">
        <v>1439</v>
      </c>
      <c r="D36" s="624">
        <v>6.9785000000000004</v>
      </c>
      <c r="E36" s="625">
        <v>1.8833930000000001</v>
      </c>
      <c r="F36" s="624">
        <v>20.121700000000001</v>
      </c>
      <c r="G36" s="625">
        <v>0</v>
      </c>
    </row>
    <row r="37" spans="1:7" ht="14.1" customHeight="1" x14ac:dyDescent="0.25">
      <c r="A37" s="621" t="s">
        <v>1494</v>
      </c>
      <c r="B37" s="622" t="s">
        <v>1495</v>
      </c>
      <c r="C37" s="623" t="s">
        <v>87</v>
      </c>
      <c r="D37" s="624">
        <v>4942.3271000000004</v>
      </c>
      <c r="E37" s="625">
        <v>0.94991400000000004</v>
      </c>
      <c r="F37" s="624">
        <v>9637.1128000000008</v>
      </c>
      <c r="G37" s="625">
        <v>0</v>
      </c>
    </row>
    <row r="38" spans="1:7" ht="14.1" customHeight="1" x14ac:dyDescent="0.25">
      <c r="A38" s="621" t="s">
        <v>1496</v>
      </c>
      <c r="B38" s="622" t="s">
        <v>1497</v>
      </c>
      <c r="C38" s="623" t="s">
        <v>1439</v>
      </c>
      <c r="D38" s="624">
        <v>10.2052</v>
      </c>
      <c r="E38" s="625">
        <v>1.633769</v>
      </c>
      <c r="F38" s="624">
        <v>26.8781</v>
      </c>
      <c r="G38" s="625">
        <v>0</v>
      </c>
    </row>
    <row r="39" spans="1:7" ht="14.1" customHeight="1" x14ac:dyDescent="0.25">
      <c r="A39" s="621" t="s">
        <v>1498</v>
      </c>
      <c r="B39" s="622" t="s">
        <v>1499</v>
      </c>
      <c r="C39" s="623" t="s">
        <v>1439</v>
      </c>
      <c r="D39" s="624">
        <v>14.764799999999999</v>
      </c>
      <c r="E39" s="625">
        <v>1.4533670000000001</v>
      </c>
      <c r="F39" s="624">
        <v>36.223399999999998</v>
      </c>
      <c r="G39" s="625">
        <v>0</v>
      </c>
    </row>
    <row r="40" spans="1:7" ht="14.1" customHeight="1" x14ac:dyDescent="0.25">
      <c r="A40" s="621" t="s">
        <v>1500</v>
      </c>
      <c r="B40" s="622" t="s">
        <v>1501</v>
      </c>
      <c r="C40" s="623" t="s">
        <v>1439</v>
      </c>
      <c r="D40" s="624">
        <v>6.9394</v>
      </c>
      <c r="E40" s="625">
        <v>1.9079060000000001</v>
      </c>
      <c r="F40" s="624">
        <v>20.179099999999998</v>
      </c>
      <c r="G40" s="625">
        <v>0</v>
      </c>
    </row>
    <row r="41" spans="1:7" ht="14.1" customHeight="1" x14ac:dyDescent="0.25">
      <c r="A41" s="621" t="s">
        <v>1502</v>
      </c>
      <c r="B41" s="622" t="s">
        <v>1503</v>
      </c>
      <c r="C41" s="623" t="s">
        <v>87</v>
      </c>
      <c r="D41" s="624">
        <v>2743.7339999999999</v>
      </c>
      <c r="E41" s="625">
        <v>1.0965720000000001</v>
      </c>
      <c r="F41" s="624">
        <v>5752.4358000000002</v>
      </c>
      <c r="G41" s="625">
        <v>0</v>
      </c>
    </row>
    <row r="42" spans="1:7" ht="14.1" customHeight="1" x14ac:dyDescent="0.25">
      <c r="A42" s="621" t="s">
        <v>1504</v>
      </c>
      <c r="B42" s="622" t="s">
        <v>1505</v>
      </c>
      <c r="C42" s="623" t="s">
        <v>87</v>
      </c>
      <c r="D42" s="624">
        <v>1975.1813999999999</v>
      </c>
      <c r="E42" s="625">
        <v>1.249142</v>
      </c>
      <c r="F42" s="624">
        <v>4442.4633999999996</v>
      </c>
      <c r="G42" s="625">
        <v>0</v>
      </c>
    </row>
    <row r="43" spans="1:7" ht="14.1" customHeight="1" x14ac:dyDescent="0.25">
      <c r="A43" s="621" t="s">
        <v>1506</v>
      </c>
      <c r="B43" s="622" t="s">
        <v>1507</v>
      </c>
      <c r="C43" s="623" t="s">
        <v>87</v>
      </c>
      <c r="D43" s="624">
        <v>1643.4</v>
      </c>
      <c r="E43" s="625">
        <v>1.3769359999999999</v>
      </c>
      <c r="F43" s="624">
        <v>3906.2566000000002</v>
      </c>
      <c r="G43" s="625">
        <v>0</v>
      </c>
    </row>
    <row r="44" spans="1:7" ht="14.1" customHeight="1" x14ac:dyDescent="0.25">
      <c r="A44" s="621" t="s">
        <v>1508</v>
      </c>
      <c r="B44" s="622" t="s">
        <v>1509</v>
      </c>
      <c r="C44" s="623" t="s">
        <v>87</v>
      </c>
      <c r="D44" s="624">
        <v>9029.2726999999995</v>
      </c>
      <c r="E44" s="625">
        <v>0.86305399999999999</v>
      </c>
      <c r="F44" s="624">
        <v>16822.0226</v>
      </c>
      <c r="G44" s="625">
        <v>0</v>
      </c>
    </row>
    <row r="45" spans="1:7" ht="14.1" customHeight="1" x14ac:dyDescent="0.25">
      <c r="A45" s="621" t="s">
        <v>1510</v>
      </c>
      <c r="B45" s="622" t="s">
        <v>1511</v>
      </c>
      <c r="C45" s="623" t="s">
        <v>1439</v>
      </c>
      <c r="D45" s="624">
        <v>9.0641999999999996</v>
      </c>
      <c r="E45" s="625">
        <v>2.0800320000000001</v>
      </c>
      <c r="F45" s="624">
        <v>30.6372</v>
      </c>
      <c r="G45" s="625">
        <v>0.3</v>
      </c>
    </row>
    <row r="46" spans="1:7" ht="14.1" customHeight="1" x14ac:dyDescent="0.25">
      <c r="A46" s="621" t="s">
        <v>1512</v>
      </c>
      <c r="B46" s="622" t="s">
        <v>1513</v>
      </c>
      <c r="C46" s="623" t="s">
        <v>1439</v>
      </c>
      <c r="D46" s="624">
        <v>6.9394</v>
      </c>
      <c r="E46" s="625">
        <v>1.8807659999999999</v>
      </c>
      <c r="F46" s="624">
        <v>19.9907</v>
      </c>
      <c r="G46" s="625">
        <v>0</v>
      </c>
    </row>
    <row r="47" spans="1:7" ht="14.1" customHeight="1" x14ac:dyDescent="0.25">
      <c r="A47" s="621" t="s">
        <v>1514</v>
      </c>
      <c r="B47" s="622" t="s">
        <v>1515</v>
      </c>
      <c r="C47" s="623" t="s">
        <v>87</v>
      </c>
      <c r="D47" s="624">
        <v>1574.6086</v>
      </c>
      <c r="E47" s="625">
        <v>1.343804</v>
      </c>
      <c r="F47" s="624">
        <v>3690.5738999999999</v>
      </c>
      <c r="G47" s="625">
        <v>0</v>
      </c>
    </row>
    <row r="48" spans="1:7" ht="14.1" customHeight="1" x14ac:dyDescent="0.25">
      <c r="A48" s="621" t="s">
        <v>1516</v>
      </c>
      <c r="B48" s="622" t="s">
        <v>1517</v>
      </c>
      <c r="C48" s="623" t="s">
        <v>87</v>
      </c>
      <c r="D48" s="624">
        <v>1805.7979</v>
      </c>
      <c r="E48" s="625">
        <v>1.292198</v>
      </c>
      <c r="F48" s="624">
        <v>4139.2462999999998</v>
      </c>
      <c r="G48" s="625">
        <v>0</v>
      </c>
    </row>
    <row r="49" spans="1:7" ht="14.1" customHeight="1" x14ac:dyDescent="0.25">
      <c r="A49" s="621" t="s">
        <v>1518</v>
      </c>
      <c r="B49" s="622" t="s">
        <v>1519</v>
      </c>
      <c r="C49" s="623" t="s">
        <v>1439</v>
      </c>
      <c r="D49" s="624">
        <v>8.2080000000000002</v>
      </c>
      <c r="E49" s="625">
        <v>1.7357739999999999</v>
      </c>
      <c r="F49" s="624">
        <v>22.455200000000001</v>
      </c>
      <c r="G49" s="625">
        <v>0</v>
      </c>
    </row>
    <row r="50" spans="1:7" ht="14.1" customHeight="1" x14ac:dyDescent="0.25">
      <c r="A50" s="621" t="s">
        <v>1520</v>
      </c>
      <c r="B50" s="622" t="s">
        <v>1521</v>
      </c>
      <c r="C50" s="623" t="s">
        <v>87</v>
      </c>
      <c r="D50" s="624">
        <v>1805.7696000000001</v>
      </c>
      <c r="E50" s="625">
        <v>1.2911330000000001</v>
      </c>
      <c r="F50" s="624">
        <v>4137.2583000000004</v>
      </c>
      <c r="G50" s="625">
        <v>0</v>
      </c>
    </row>
    <row r="51" spans="1:7" ht="14.1" customHeight="1" x14ac:dyDescent="0.25">
      <c r="A51" s="621" t="s">
        <v>1522</v>
      </c>
      <c r="B51" s="622" t="s">
        <v>1523</v>
      </c>
      <c r="C51" s="623" t="s">
        <v>87</v>
      </c>
      <c r="D51" s="624">
        <v>2628.9178999999999</v>
      </c>
      <c r="E51" s="625">
        <v>1.145923</v>
      </c>
      <c r="F51" s="624">
        <v>5641.4552999999996</v>
      </c>
      <c r="G51" s="625">
        <v>0</v>
      </c>
    </row>
    <row r="52" spans="1:7" ht="14.1" customHeight="1" x14ac:dyDescent="0.25">
      <c r="A52" s="621" t="s">
        <v>1524</v>
      </c>
      <c r="B52" s="622" t="s">
        <v>1525</v>
      </c>
      <c r="C52" s="623" t="s">
        <v>1439</v>
      </c>
      <c r="D52" s="624">
        <v>6.1300999999999997</v>
      </c>
      <c r="E52" s="625">
        <v>2.0347010000000001</v>
      </c>
      <c r="F52" s="624">
        <v>18.603000000000002</v>
      </c>
      <c r="G52" s="625">
        <v>0</v>
      </c>
    </row>
    <row r="53" spans="1:7" ht="14.1" customHeight="1" x14ac:dyDescent="0.25">
      <c r="A53" s="621" t="s">
        <v>1526</v>
      </c>
      <c r="B53" s="622" t="s">
        <v>1527</v>
      </c>
      <c r="C53" s="623" t="s">
        <v>1439</v>
      </c>
      <c r="D53" s="624">
        <v>8.0884</v>
      </c>
      <c r="E53" s="625">
        <v>2.3740899999999998</v>
      </c>
      <c r="F53" s="624">
        <v>29.494199999999999</v>
      </c>
      <c r="G53" s="625">
        <v>0.27239999999999998</v>
      </c>
    </row>
    <row r="54" spans="1:7" ht="14.1" customHeight="1" x14ac:dyDescent="0.25">
      <c r="A54" s="621" t="s">
        <v>1528</v>
      </c>
      <c r="B54" s="622" t="s">
        <v>1529</v>
      </c>
      <c r="C54" s="623" t="s">
        <v>1439</v>
      </c>
      <c r="D54" s="624">
        <v>6.9394</v>
      </c>
      <c r="E54" s="625">
        <v>1.893313</v>
      </c>
      <c r="F54" s="624">
        <v>20.0778</v>
      </c>
      <c r="G54" s="625">
        <v>0</v>
      </c>
    </row>
    <row r="55" spans="1:7" ht="14.1" customHeight="1" x14ac:dyDescent="0.25">
      <c r="A55" s="621" t="s">
        <v>1530</v>
      </c>
      <c r="B55" s="622" t="s">
        <v>1531</v>
      </c>
      <c r="C55" s="623" t="s">
        <v>87</v>
      </c>
      <c r="D55" s="624">
        <v>10406.1319</v>
      </c>
      <c r="E55" s="625">
        <v>0.85865199999999997</v>
      </c>
      <c r="F55" s="624">
        <v>19341.377799999998</v>
      </c>
      <c r="G55" s="625">
        <v>0</v>
      </c>
    </row>
    <row r="56" spans="1:7" ht="14.1" customHeight="1" x14ac:dyDescent="0.25">
      <c r="A56" s="621" t="s">
        <v>1532</v>
      </c>
      <c r="B56" s="622" t="s">
        <v>1533</v>
      </c>
      <c r="C56" s="623" t="s">
        <v>87</v>
      </c>
      <c r="D56" s="624">
        <v>2607.5589</v>
      </c>
      <c r="E56" s="625">
        <v>1.1625289999999999</v>
      </c>
      <c r="F56" s="624">
        <v>5638.9216999999999</v>
      </c>
      <c r="G56" s="625">
        <v>0</v>
      </c>
    </row>
    <row r="57" spans="1:7" ht="14.1" customHeight="1" x14ac:dyDescent="0.25">
      <c r="A57" s="621" t="s">
        <v>1534</v>
      </c>
      <c r="B57" s="622" t="s">
        <v>1535</v>
      </c>
      <c r="C57" s="623" t="s">
        <v>1439</v>
      </c>
      <c r="D57" s="624">
        <v>8.4268000000000001</v>
      </c>
      <c r="E57" s="625">
        <v>1.722772</v>
      </c>
      <c r="F57" s="624">
        <v>22.944199999999999</v>
      </c>
      <c r="G57" s="625">
        <v>0</v>
      </c>
    </row>
    <row r="58" spans="1:7" ht="14.1" customHeight="1" x14ac:dyDescent="0.25">
      <c r="A58" s="621" t="s">
        <v>1536</v>
      </c>
      <c r="B58" s="622" t="s">
        <v>1537</v>
      </c>
      <c r="C58" s="623" t="s">
        <v>87</v>
      </c>
      <c r="D58" s="624">
        <v>3123.0093000000002</v>
      </c>
      <c r="E58" s="625">
        <v>1.0930009999999999</v>
      </c>
      <c r="F58" s="624">
        <v>6536.4615000000003</v>
      </c>
      <c r="G58" s="625">
        <v>0</v>
      </c>
    </row>
    <row r="59" spans="1:7" ht="14.1" customHeight="1" x14ac:dyDescent="0.25">
      <c r="A59" s="621" t="s">
        <v>1538</v>
      </c>
      <c r="B59" s="622" t="s">
        <v>1539</v>
      </c>
      <c r="C59" s="623" t="s">
        <v>87</v>
      </c>
      <c r="D59" s="624">
        <v>3531.0279999999998</v>
      </c>
      <c r="E59" s="625">
        <v>1.0423750000000001</v>
      </c>
      <c r="F59" s="624">
        <v>7211.6832999999997</v>
      </c>
      <c r="G59" s="625">
        <v>0</v>
      </c>
    </row>
    <row r="60" spans="1:7" ht="14.1" customHeight="1" x14ac:dyDescent="0.25">
      <c r="A60" s="621" t="s">
        <v>1540</v>
      </c>
      <c r="B60" s="622" t="s">
        <v>1541</v>
      </c>
      <c r="C60" s="623" t="s">
        <v>1439</v>
      </c>
      <c r="D60" s="624">
        <v>9.0922000000000001</v>
      </c>
      <c r="E60" s="625">
        <v>1.6857219999999999</v>
      </c>
      <c r="F60" s="624">
        <v>24.4191</v>
      </c>
      <c r="G60" s="625">
        <v>0</v>
      </c>
    </row>
    <row r="61" spans="1:7" ht="14.1" customHeight="1" x14ac:dyDescent="0.25">
      <c r="A61" s="621" t="s">
        <v>1542</v>
      </c>
      <c r="B61" s="622" t="s">
        <v>1543</v>
      </c>
      <c r="C61" s="623" t="s">
        <v>1439</v>
      </c>
      <c r="D61" s="624">
        <v>10.6653</v>
      </c>
      <c r="E61" s="625">
        <v>1.5910530000000001</v>
      </c>
      <c r="F61" s="624">
        <v>27.6343</v>
      </c>
      <c r="G61" s="625">
        <v>0</v>
      </c>
    </row>
    <row r="62" spans="1:7" ht="14.1" customHeight="1" x14ac:dyDescent="0.25">
      <c r="A62" s="621" t="s">
        <v>1544</v>
      </c>
      <c r="B62" s="622" t="s">
        <v>182</v>
      </c>
      <c r="C62" s="623" t="s">
        <v>87</v>
      </c>
      <c r="D62" s="624">
        <v>2077.8933999999999</v>
      </c>
      <c r="E62" s="625">
        <v>1.2408969999999999</v>
      </c>
      <c r="F62" s="624">
        <v>4656.3450000000003</v>
      </c>
      <c r="G62" s="625">
        <v>0</v>
      </c>
    </row>
    <row r="63" spans="1:7" ht="14.1" customHeight="1" x14ac:dyDescent="0.25">
      <c r="A63" s="621" t="s">
        <v>1545</v>
      </c>
      <c r="B63" s="622" t="s">
        <v>1546</v>
      </c>
      <c r="C63" s="623" t="s">
        <v>87</v>
      </c>
      <c r="D63" s="624">
        <v>2806.4486000000002</v>
      </c>
      <c r="E63" s="625">
        <v>1.124868</v>
      </c>
      <c r="F63" s="624">
        <v>5963.3328000000001</v>
      </c>
      <c r="G63" s="625">
        <v>0</v>
      </c>
    </row>
    <row r="64" spans="1:7" ht="14.1" customHeight="1" x14ac:dyDescent="0.25">
      <c r="A64" s="621" t="s">
        <v>1547</v>
      </c>
      <c r="B64" s="622" t="s">
        <v>1548</v>
      </c>
      <c r="C64" s="623" t="s">
        <v>87</v>
      </c>
      <c r="D64" s="624">
        <v>2498.6918999999998</v>
      </c>
      <c r="E64" s="625">
        <v>1.1258619999999999</v>
      </c>
      <c r="F64" s="624">
        <v>5311.8741</v>
      </c>
      <c r="G64" s="625">
        <v>0</v>
      </c>
    </row>
    <row r="65" spans="1:7" ht="14.1" customHeight="1" x14ac:dyDescent="0.25">
      <c r="A65" s="621" t="s">
        <v>1549</v>
      </c>
      <c r="B65" s="622" t="s">
        <v>1550</v>
      </c>
      <c r="C65" s="623" t="s">
        <v>87</v>
      </c>
      <c r="D65" s="624">
        <v>2728.56</v>
      </c>
      <c r="E65" s="625">
        <v>1.1062689999999999</v>
      </c>
      <c r="F65" s="624">
        <v>5747.0812999999998</v>
      </c>
      <c r="G65" s="625">
        <v>0</v>
      </c>
    </row>
    <row r="66" spans="1:7" ht="14.1" customHeight="1" x14ac:dyDescent="0.25">
      <c r="A66" s="621" t="s">
        <v>1551</v>
      </c>
      <c r="B66" s="622" t="s">
        <v>1552</v>
      </c>
      <c r="C66" s="623" t="s">
        <v>1439</v>
      </c>
      <c r="D66" s="624">
        <v>14.195499999999999</v>
      </c>
      <c r="E66" s="625">
        <v>1.495047</v>
      </c>
      <c r="F66" s="624">
        <v>35.418399999999998</v>
      </c>
      <c r="G66" s="625">
        <v>0</v>
      </c>
    </row>
    <row r="67" spans="1:7" ht="14.1" customHeight="1" x14ac:dyDescent="0.25">
      <c r="A67" s="621" t="s">
        <v>1553</v>
      </c>
      <c r="B67" s="622" t="s">
        <v>1554</v>
      </c>
      <c r="C67" s="623" t="s">
        <v>87</v>
      </c>
      <c r="D67" s="624">
        <v>3971.2617</v>
      </c>
      <c r="E67" s="625">
        <v>0.99140499999999998</v>
      </c>
      <c r="F67" s="624">
        <v>7908.3904000000002</v>
      </c>
      <c r="G67" s="625">
        <v>0</v>
      </c>
    </row>
    <row r="68" spans="1:7" ht="14.1" customHeight="1" x14ac:dyDescent="0.25">
      <c r="A68" s="621" t="s">
        <v>1555</v>
      </c>
      <c r="B68" s="622" t="s">
        <v>1556</v>
      </c>
      <c r="C68" s="623" t="s">
        <v>87</v>
      </c>
      <c r="D68" s="624">
        <v>3531.0279999999998</v>
      </c>
      <c r="E68" s="625">
        <v>1.0423750000000001</v>
      </c>
      <c r="F68" s="624">
        <v>7211.6832999999997</v>
      </c>
      <c r="G68" s="625">
        <v>0</v>
      </c>
    </row>
    <row r="69" spans="1:7" ht="14.1" customHeight="1" x14ac:dyDescent="0.25">
      <c r="A69" s="621" t="s">
        <v>1557</v>
      </c>
      <c r="B69" s="622" t="s">
        <v>1558</v>
      </c>
      <c r="C69" s="623" t="s">
        <v>1439</v>
      </c>
      <c r="D69" s="624">
        <v>6.9394</v>
      </c>
      <c r="E69" s="625">
        <v>1.9714229999999999</v>
      </c>
      <c r="F69" s="624">
        <v>20.619800000000001</v>
      </c>
      <c r="G69" s="625">
        <v>0</v>
      </c>
    </row>
    <row r="70" spans="1:7" ht="14.1" customHeight="1" x14ac:dyDescent="0.25">
      <c r="A70" s="621" t="s">
        <v>1559</v>
      </c>
      <c r="B70" s="622" t="s">
        <v>1560</v>
      </c>
      <c r="C70" s="623" t="s">
        <v>87</v>
      </c>
      <c r="D70" s="624">
        <v>3553.1181000000001</v>
      </c>
      <c r="E70" s="625">
        <v>1.047072</v>
      </c>
      <c r="F70" s="624">
        <v>7273.4885000000004</v>
      </c>
      <c r="G70" s="625">
        <v>0</v>
      </c>
    </row>
    <row r="71" spans="1:7" ht="14.1" customHeight="1" x14ac:dyDescent="0.25">
      <c r="A71" s="621" t="s">
        <v>1561</v>
      </c>
      <c r="B71" s="622" t="s">
        <v>1562</v>
      </c>
      <c r="C71" s="623" t="s">
        <v>87</v>
      </c>
      <c r="D71" s="624">
        <v>12078.213900000001</v>
      </c>
      <c r="E71" s="625">
        <v>0.83982699999999999</v>
      </c>
      <c r="F71" s="624">
        <v>22221.824000000001</v>
      </c>
      <c r="G71" s="625">
        <v>0</v>
      </c>
    </row>
    <row r="72" spans="1:7" ht="14.1" customHeight="1" x14ac:dyDescent="0.25">
      <c r="A72" s="621" t="s">
        <v>1563</v>
      </c>
      <c r="B72" s="622" t="s">
        <v>1564</v>
      </c>
      <c r="C72" s="623" t="s">
        <v>1439</v>
      </c>
      <c r="D72" s="624">
        <v>7.7949000000000002</v>
      </c>
      <c r="E72" s="625">
        <v>2.1857310000000001</v>
      </c>
      <c r="F72" s="624">
        <v>27.1709</v>
      </c>
      <c r="G72" s="625">
        <v>0.3</v>
      </c>
    </row>
    <row r="73" spans="1:7" ht="14.1" customHeight="1" x14ac:dyDescent="0.25">
      <c r="A73" s="621" t="s">
        <v>1565</v>
      </c>
      <c r="B73" s="622" t="s">
        <v>1566</v>
      </c>
      <c r="C73" s="623" t="s">
        <v>87</v>
      </c>
      <c r="D73" s="624">
        <v>3531.0279999999998</v>
      </c>
      <c r="E73" s="625">
        <v>1.0423750000000001</v>
      </c>
      <c r="F73" s="624">
        <v>7211.6832999999997</v>
      </c>
      <c r="G73" s="625">
        <v>0</v>
      </c>
    </row>
    <row r="74" spans="1:7" ht="14.1" customHeight="1" x14ac:dyDescent="0.25">
      <c r="A74" s="621" t="s">
        <v>1567</v>
      </c>
      <c r="B74" s="622" t="s">
        <v>1568</v>
      </c>
      <c r="C74" s="623" t="s">
        <v>87</v>
      </c>
      <c r="D74" s="624">
        <v>1643.4</v>
      </c>
      <c r="E74" s="625">
        <v>1.3847640000000001</v>
      </c>
      <c r="F74" s="624">
        <v>3919.1210999999998</v>
      </c>
      <c r="G74" s="625">
        <v>0</v>
      </c>
    </row>
    <row r="75" spans="1:7" ht="14.1" customHeight="1" x14ac:dyDescent="0.25">
      <c r="A75" s="621" t="s">
        <v>1569</v>
      </c>
      <c r="B75" s="622" t="s">
        <v>1570</v>
      </c>
      <c r="C75" s="623" t="s">
        <v>87</v>
      </c>
      <c r="D75" s="624">
        <v>3124.6563999999998</v>
      </c>
      <c r="E75" s="625">
        <v>1.0841209999999999</v>
      </c>
      <c r="F75" s="624">
        <v>6512.1620000000003</v>
      </c>
      <c r="G75" s="625">
        <v>0</v>
      </c>
    </row>
    <row r="76" spans="1:7" ht="14.1" customHeight="1" x14ac:dyDescent="0.25">
      <c r="A76" s="621" t="s">
        <v>1571</v>
      </c>
      <c r="B76" s="622" t="s">
        <v>1572</v>
      </c>
      <c r="C76" s="623" t="s">
        <v>87</v>
      </c>
      <c r="D76" s="624">
        <v>3408.9128000000001</v>
      </c>
      <c r="E76" s="625">
        <v>1.0590029999999999</v>
      </c>
      <c r="F76" s="624">
        <v>7018.9615999999996</v>
      </c>
      <c r="G76" s="625">
        <v>0</v>
      </c>
    </row>
    <row r="77" spans="1:7" ht="14.1" customHeight="1" x14ac:dyDescent="0.25">
      <c r="A77" s="621" t="s">
        <v>1573</v>
      </c>
      <c r="B77" s="622" t="s">
        <v>1574</v>
      </c>
      <c r="C77" s="623" t="s">
        <v>87</v>
      </c>
      <c r="D77" s="624">
        <v>3531.0279999999998</v>
      </c>
      <c r="E77" s="625">
        <v>1.0423750000000001</v>
      </c>
      <c r="F77" s="624">
        <v>7211.6832999999997</v>
      </c>
      <c r="G77" s="625">
        <v>0</v>
      </c>
    </row>
    <row r="78" spans="1:7" ht="14.1" customHeight="1" x14ac:dyDescent="0.25">
      <c r="A78" s="621" t="s">
        <v>1575</v>
      </c>
      <c r="B78" s="622" t="s">
        <v>1576</v>
      </c>
      <c r="C78" s="623" t="s">
        <v>87</v>
      </c>
      <c r="D78" s="624">
        <v>1703.3362999999999</v>
      </c>
      <c r="E78" s="625">
        <v>1.3461320000000001</v>
      </c>
      <c r="F78" s="624">
        <v>3996.2518</v>
      </c>
      <c r="G78" s="625">
        <v>0</v>
      </c>
    </row>
    <row r="79" spans="1:7" ht="14.1" customHeight="1" x14ac:dyDescent="0.25">
      <c r="A79" s="621" t="s">
        <v>1577</v>
      </c>
      <c r="B79" s="622" t="s">
        <v>1578</v>
      </c>
      <c r="C79" s="623" t="s">
        <v>87</v>
      </c>
      <c r="D79" s="624">
        <v>11286.541300000001</v>
      </c>
      <c r="E79" s="625">
        <v>0.84158900000000003</v>
      </c>
      <c r="F79" s="624">
        <v>20785.170300000002</v>
      </c>
      <c r="G79" s="625">
        <v>0</v>
      </c>
    </row>
    <row r="80" spans="1:7" ht="14.1" customHeight="1" x14ac:dyDescent="0.25">
      <c r="A80" s="621" t="s">
        <v>1579</v>
      </c>
      <c r="B80" s="622" t="s">
        <v>1580</v>
      </c>
      <c r="C80" s="623" t="s">
        <v>87</v>
      </c>
      <c r="D80" s="624">
        <v>7129.7950000000001</v>
      </c>
      <c r="E80" s="625">
        <v>0.89078800000000002</v>
      </c>
      <c r="F80" s="624">
        <v>13480.9308</v>
      </c>
      <c r="G80" s="625">
        <v>0</v>
      </c>
    </row>
    <row r="81" spans="1:7" ht="14.1" customHeight="1" x14ac:dyDescent="0.25">
      <c r="A81" s="621" t="s">
        <v>1581</v>
      </c>
      <c r="B81" s="622" t="s">
        <v>1582</v>
      </c>
      <c r="C81" s="623" t="s">
        <v>87</v>
      </c>
      <c r="D81" s="624">
        <v>2012.6684</v>
      </c>
      <c r="E81" s="625">
        <v>1.2400139999999999</v>
      </c>
      <c r="F81" s="624">
        <v>4508.4053000000004</v>
      </c>
      <c r="G81" s="625">
        <v>0</v>
      </c>
    </row>
    <row r="82" spans="1:7" ht="14.1" customHeight="1" x14ac:dyDescent="0.25">
      <c r="A82" s="621" t="s">
        <v>1583</v>
      </c>
      <c r="B82" s="622" t="s">
        <v>1584</v>
      </c>
      <c r="C82" s="623" t="s">
        <v>87</v>
      </c>
      <c r="D82" s="624">
        <v>2617.3407999999999</v>
      </c>
      <c r="E82" s="625">
        <v>1.1285259999999999</v>
      </c>
      <c r="F82" s="624">
        <v>5571.0779000000002</v>
      </c>
      <c r="G82" s="625">
        <v>0</v>
      </c>
    </row>
    <row r="83" spans="1:7" ht="14.1" customHeight="1" x14ac:dyDescent="0.25">
      <c r="A83" s="621" t="s">
        <v>1585</v>
      </c>
      <c r="B83" s="622" t="s">
        <v>1586</v>
      </c>
      <c r="C83" s="623" t="s">
        <v>87</v>
      </c>
      <c r="D83" s="624">
        <v>1975.1813999999999</v>
      </c>
      <c r="E83" s="625">
        <v>1.249142</v>
      </c>
      <c r="F83" s="624">
        <v>4442.4633999999996</v>
      </c>
      <c r="G83" s="625">
        <v>0</v>
      </c>
    </row>
    <row r="84" spans="1:7" ht="14.1" customHeight="1" x14ac:dyDescent="0.25">
      <c r="A84" s="621" t="s">
        <v>1587</v>
      </c>
      <c r="B84" s="622" t="s">
        <v>1588</v>
      </c>
      <c r="C84" s="623" t="s">
        <v>1439</v>
      </c>
      <c r="D84" s="624">
        <v>22.4651</v>
      </c>
      <c r="E84" s="625">
        <v>1.6596949999999999</v>
      </c>
      <c r="F84" s="624">
        <v>66.489800000000002</v>
      </c>
      <c r="G84" s="625">
        <v>0.3</v>
      </c>
    </row>
    <row r="85" spans="1:7" ht="14.1" customHeight="1" x14ac:dyDescent="0.25">
      <c r="A85" s="621" t="s">
        <v>1589</v>
      </c>
      <c r="B85" s="622" t="s">
        <v>1590</v>
      </c>
      <c r="C85" s="623" t="s">
        <v>87</v>
      </c>
      <c r="D85" s="624">
        <v>3595.3388</v>
      </c>
      <c r="E85" s="625">
        <v>1.022114</v>
      </c>
      <c r="F85" s="624">
        <v>7270.1849000000002</v>
      </c>
      <c r="G85" s="625">
        <v>0</v>
      </c>
    </row>
    <row r="86" spans="1:7" ht="14.1" customHeight="1" x14ac:dyDescent="0.25">
      <c r="A86" s="621" t="s">
        <v>1591</v>
      </c>
      <c r="B86" s="622" t="s">
        <v>1592</v>
      </c>
      <c r="C86" s="623" t="s">
        <v>1439</v>
      </c>
      <c r="D86" s="624">
        <v>10.5717</v>
      </c>
      <c r="E86" s="625">
        <v>1.625775</v>
      </c>
      <c r="F86" s="624">
        <v>27.758900000000001</v>
      </c>
      <c r="G86" s="625">
        <v>0</v>
      </c>
    </row>
    <row r="87" spans="1:7" ht="14.1" customHeight="1" x14ac:dyDescent="0.25">
      <c r="A87" s="621" t="s">
        <v>56</v>
      </c>
      <c r="B87" s="622" t="s">
        <v>57</v>
      </c>
      <c r="C87" s="623" t="s">
        <v>87</v>
      </c>
      <c r="D87" s="624">
        <v>3531.0279999999998</v>
      </c>
      <c r="E87" s="625">
        <v>1.0423750000000001</v>
      </c>
      <c r="F87" s="624">
        <v>7211.6832999999997</v>
      </c>
      <c r="G87" s="625">
        <v>0</v>
      </c>
    </row>
    <row r="88" spans="1:7" ht="14.1" customHeight="1" x14ac:dyDescent="0.25">
      <c r="A88" s="621" t="s">
        <v>1593</v>
      </c>
      <c r="B88" s="622" t="s">
        <v>1594</v>
      </c>
      <c r="C88" s="623" t="s">
        <v>87</v>
      </c>
      <c r="D88" s="624">
        <v>4942.3271000000004</v>
      </c>
      <c r="E88" s="625">
        <v>0.94991400000000004</v>
      </c>
      <c r="F88" s="624">
        <v>9637.1128000000008</v>
      </c>
      <c r="G88" s="625">
        <v>0</v>
      </c>
    </row>
    <row r="89" spans="1:7" ht="14.1" customHeight="1" x14ac:dyDescent="0.25">
      <c r="A89" s="621" t="s">
        <v>1595</v>
      </c>
      <c r="B89" s="622" t="s">
        <v>1596</v>
      </c>
      <c r="C89" s="623" t="s">
        <v>1439</v>
      </c>
      <c r="D89" s="624">
        <v>8.0884</v>
      </c>
      <c r="E89" s="625">
        <v>2.185765</v>
      </c>
      <c r="F89" s="624">
        <v>28.194199999999999</v>
      </c>
      <c r="G89" s="625">
        <v>0.3</v>
      </c>
    </row>
    <row r="90" spans="1:7" ht="14.1" customHeight="1" x14ac:dyDescent="0.25">
      <c r="A90" s="621" t="s">
        <v>1597</v>
      </c>
      <c r="B90" s="622" t="s">
        <v>1598</v>
      </c>
      <c r="C90" s="623" t="s">
        <v>1439</v>
      </c>
      <c r="D90" s="624">
        <v>6.9394</v>
      </c>
      <c r="E90" s="625">
        <v>2.3007900000000001</v>
      </c>
      <c r="F90" s="624">
        <v>24.987300000000001</v>
      </c>
      <c r="G90" s="625">
        <v>0.3</v>
      </c>
    </row>
    <row r="91" spans="1:7" ht="14.1" customHeight="1" x14ac:dyDescent="0.25">
      <c r="A91" s="621" t="s">
        <v>1599</v>
      </c>
      <c r="B91" s="622" t="s">
        <v>1600</v>
      </c>
      <c r="C91" s="623" t="s">
        <v>1439</v>
      </c>
      <c r="D91" s="624">
        <v>6.1702000000000004</v>
      </c>
      <c r="E91" s="625">
        <v>2.343245</v>
      </c>
      <c r="F91" s="624">
        <v>22.479500000000002</v>
      </c>
      <c r="G91" s="625">
        <v>0.3</v>
      </c>
    </row>
    <row r="92" spans="1:7" ht="14.1" customHeight="1" x14ac:dyDescent="0.25">
      <c r="A92" s="621" t="s">
        <v>1601</v>
      </c>
      <c r="B92" s="622" t="s">
        <v>1602</v>
      </c>
      <c r="C92" s="623" t="s">
        <v>1439</v>
      </c>
      <c r="D92" s="624">
        <v>11.3413</v>
      </c>
      <c r="E92" s="625">
        <v>2.0214789999999998</v>
      </c>
      <c r="F92" s="624">
        <v>37.669800000000002</v>
      </c>
      <c r="G92" s="625">
        <v>0.3</v>
      </c>
    </row>
    <row r="93" spans="1:7" ht="14.1" customHeight="1" x14ac:dyDescent="0.25">
      <c r="A93" s="621" t="s">
        <v>1603</v>
      </c>
      <c r="B93" s="622" t="s">
        <v>1604</v>
      </c>
      <c r="C93" s="623" t="s">
        <v>1439</v>
      </c>
      <c r="D93" s="624">
        <v>8.9</v>
      </c>
      <c r="E93" s="625">
        <v>2.1362049999999999</v>
      </c>
      <c r="F93" s="624">
        <v>30.5822</v>
      </c>
      <c r="G93" s="625">
        <v>0.3</v>
      </c>
    </row>
    <row r="94" spans="1:7" ht="14.1" customHeight="1" x14ac:dyDescent="0.25">
      <c r="A94" s="621" t="s">
        <v>1605</v>
      </c>
      <c r="B94" s="622" t="s">
        <v>1606</v>
      </c>
      <c r="C94" s="623" t="s">
        <v>1439</v>
      </c>
      <c r="D94" s="624">
        <v>10.2052</v>
      </c>
      <c r="E94" s="625">
        <v>1.9623330000000001</v>
      </c>
      <c r="F94" s="624">
        <v>33.292700000000004</v>
      </c>
      <c r="G94" s="625">
        <v>0.3</v>
      </c>
    </row>
    <row r="95" spans="1:7" ht="14.1" customHeight="1" x14ac:dyDescent="0.25">
      <c r="A95" s="621" t="s">
        <v>1607</v>
      </c>
      <c r="B95" s="622" t="s">
        <v>1608</v>
      </c>
      <c r="C95" s="623" t="s">
        <v>1439</v>
      </c>
      <c r="D95" s="624">
        <v>10.6653</v>
      </c>
      <c r="E95" s="625">
        <v>1.9196139999999999</v>
      </c>
      <c r="F95" s="624">
        <v>34.338099999999997</v>
      </c>
      <c r="G95" s="625">
        <v>0.3</v>
      </c>
    </row>
    <row r="96" spans="1:7" ht="14.1" customHeight="1" x14ac:dyDescent="0.25">
      <c r="A96" s="621" t="s">
        <v>1609</v>
      </c>
      <c r="B96" s="622" t="s">
        <v>1610</v>
      </c>
      <c r="C96" s="623" t="s">
        <v>1439</v>
      </c>
      <c r="D96" s="624">
        <v>6.9785000000000004</v>
      </c>
      <c r="E96" s="625">
        <v>2.2119450000000001</v>
      </c>
      <c r="F96" s="624">
        <v>24.508099999999999</v>
      </c>
      <c r="G96" s="625">
        <v>0.3</v>
      </c>
    </row>
    <row r="97" spans="1:7" ht="14.1" customHeight="1" x14ac:dyDescent="0.25">
      <c r="A97" s="621" t="s">
        <v>1611</v>
      </c>
      <c r="B97" s="622" t="s">
        <v>1612</v>
      </c>
      <c r="C97" s="623" t="s">
        <v>1439</v>
      </c>
      <c r="D97" s="624">
        <v>6.9785000000000004</v>
      </c>
      <c r="E97" s="625">
        <v>2.454615</v>
      </c>
      <c r="F97" s="624">
        <v>26.311800000000002</v>
      </c>
      <c r="G97" s="625">
        <v>0.31580000000000003</v>
      </c>
    </row>
    <row r="98" spans="1:7" ht="14.1" customHeight="1" x14ac:dyDescent="0.25">
      <c r="A98" s="621" t="s">
        <v>1613</v>
      </c>
      <c r="B98" s="622" t="s">
        <v>1614</v>
      </c>
      <c r="C98" s="623" t="s">
        <v>1439</v>
      </c>
      <c r="D98" s="624">
        <v>12.4026</v>
      </c>
      <c r="E98" s="625">
        <v>1.848166</v>
      </c>
      <c r="F98" s="624">
        <v>39.045400000000001</v>
      </c>
      <c r="G98" s="625">
        <v>0.3</v>
      </c>
    </row>
    <row r="99" spans="1:7" ht="14.1" customHeight="1" x14ac:dyDescent="0.25">
      <c r="A99" s="621" t="s">
        <v>1615</v>
      </c>
      <c r="B99" s="622" t="s">
        <v>1616</v>
      </c>
      <c r="C99" s="623" t="s">
        <v>1439</v>
      </c>
      <c r="D99" s="624">
        <v>22.4651</v>
      </c>
      <c r="E99" s="625">
        <v>1.6596949999999999</v>
      </c>
      <c r="F99" s="624">
        <v>66.489800000000002</v>
      </c>
      <c r="G99" s="625">
        <v>0.3</v>
      </c>
    </row>
    <row r="100" spans="1:7" ht="14.1" customHeight="1" x14ac:dyDescent="0.25">
      <c r="A100" s="621" t="s">
        <v>1617</v>
      </c>
      <c r="B100" s="622" t="s">
        <v>1618</v>
      </c>
      <c r="C100" s="623" t="s">
        <v>1439</v>
      </c>
      <c r="D100" s="624">
        <v>8.2080000000000002</v>
      </c>
      <c r="E100" s="625">
        <v>2.0654140000000001</v>
      </c>
      <c r="F100" s="624">
        <v>27.6233</v>
      </c>
      <c r="G100" s="625">
        <v>0.3</v>
      </c>
    </row>
    <row r="101" spans="1:7" ht="14.1" customHeight="1" x14ac:dyDescent="0.25">
      <c r="A101" s="621" t="s">
        <v>1619</v>
      </c>
      <c r="B101" s="622" t="s">
        <v>1620</v>
      </c>
      <c r="C101" s="623" t="s">
        <v>1439</v>
      </c>
      <c r="D101" s="624">
        <v>9.1965000000000003</v>
      </c>
      <c r="E101" s="625">
        <v>1.9977769999999999</v>
      </c>
      <c r="F101" s="624">
        <v>30.327999999999999</v>
      </c>
      <c r="G101" s="625">
        <v>0.3</v>
      </c>
    </row>
    <row r="102" spans="1:7" ht="14.1" customHeight="1" x14ac:dyDescent="0.25">
      <c r="A102" s="621" t="s">
        <v>1621</v>
      </c>
      <c r="B102" s="622" t="s">
        <v>1622</v>
      </c>
      <c r="C102" s="623" t="s">
        <v>1439</v>
      </c>
      <c r="D102" s="624">
        <v>14.764799999999999</v>
      </c>
      <c r="E102" s="625">
        <v>1.7819240000000001</v>
      </c>
      <c r="F102" s="624">
        <v>45.503900000000002</v>
      </c>
      <c r="G102" s="625">
        <v>0.3</v>
      </c>
    </row>
    <row r="103" spans="1:7" ht="14.1" customHeight="1" x14ac:dyDescent="0.25">
      <c r="A103" s="621" t="s">
        <v>1623</v>
      </c>
      <c r="B103" s="622" t="s">
        <v>1624</v>
      </c>
      <c r="C103" s="623" t="s">
        <v>1439</v>
      </c>
      <c r="D103" s="624">
        <v>16.342400000000001</v>
      </c>
      <c r="E103" s="625">
        <v>1.746726</v>
      </c>
      <c r="F103" s="624">
        <v>49.790799999999997</v>
      </c>
      <c r="G103" s="625">
        <v>0.3</v>
      </c>
    </row>
    <row r="104" spans="1:7" ht="14.1" customHeight="1" x14ac:dyDescent="0.25">
      <c r="A104" s="621" t="s">
        <v>1625</v>
      </c>
      <c r="B104" s="622" t="s">
        <v>1626</v>
      </c>
      <c r="C104" s="623" t="s">
        <v>87</v>
      </c>
      <c r="D104" s="624">
        <v>10302</v>
      </c>
      <c r="E104" s="625">
        <v>0.85636699999999999</v>
      </c>
      <c r="F104" s="624">
        <v>19124.292799999999</v>
      </c>
      <c r="G104" s="625">
        <v>0</v>
      </c>
    </row>
    <row r="105" spans="1:7" ht="14.1" customHeight="1" x14ac:dyDescent="0.25">
      <c r="A105" s="621" t="s">
        <v>1627</v>
      </c>
      <c r="B105" s="622" t="s">
        <v>1628</v>
      </c>
      <c r="C105" s="623" t="s">
        <v>87</v>
      </c>
      <c r="D105" s="624">
        <v>3124.6563999999998</v>
      </c>
      <c r="E105" s="625">
        <v>1.0841209999999999</v>
      </c>
      <c r="F105" s="624">
        <v>6512.1620000000003</v>
      </c>
      <c r="G105" s="625">
        <v>0</v>
      </c>
    </row>
    <row r="106" spans="1:7" ht="14.1" customHeight="1" x14ac:dyDescent="0.25">
      <c r="A106" s="621" t="s">
        <v>1629</v>
      </c>
      <c r="B106" s="622" t="s">
        <v>1630</v>
      </c>
      <c r="C106" s="623" t="s">
        <v>87</v>
      </c>
      <c r="D106" s="624">
        <v>2000.2824000000001</v>
      </c>
      <c r="E106" s="625">
        <v>1.2521389999999999</v>
      </c>
      <c r="F106" s="624">
        <v>4504.9139999999998</v>
      </c>
      <c r="G106" s="625">
        <v>0</v>
      </c>
    </row>
    <row r="107" spans="1:7" ht="14.1" customHeight="1" x14ac:dyDescent="0.25">
      <c r="A107" s="621" t="s">
        <v>1631</v>
      </c>
      <c r="B107" s="622" t="s">
        <v>1632</v>
      </c>
      <c r="C107" s="623" t="s">
        <v>87</v>
      </c>
      <c r="D107" s="624">
        <v>2718.3656999999998</v>
      </c>
      <c r="E107" s="625">
        <v>1.142026</v>
      </c>
      <c r="F107" s="624">
        <v>5822.81</v>
      </c>
      <c r="G107" s="625">
        <v>0</v>
      </c>
    </row>
    <row r="108" spans="1:7" ht="14.1" customHeight="1" x14ac:dyDescent="0.25">
      <c r="A108" s="621" t="s">
        <v>1633</v>
      </c>
      <c r="B108" s="622" t="s">
        <v>1634</v>
      </c>
      <c r="C108" s="623" t="s">
        <v>87</v>
      </c>
      <c r="D108" s="624">
        <v>1694</v>
      </c>
      <c r="E108" s="625">
        <v>1.365359</v>
      </c>
      <c r="F108" s="624">
        <v>4006.9180999999999</v>
      </c>
      <c r="G108" s="625">
        <v>0</v>
      </c>
    </row>
    <row r="109" spans="1:7" ht="14.1" customHeight="1" x14ac:dyDescent="0.25">
      <c r="A109" s="621" t="s">
        <v>1635</v>
      </c>
      <c r="B109" s="622" t="s">
        <v>1636</v>
      </c>
      <c r="C109" s="623" t="s">
        <v>87</v>
      </c>
      <c r="D109" s="624">
        <v>9029.2726999999995</v>
      </c>
      <c r="E109" s="625">
        <v>1.0544150000000001</v>
      </c>
      <c r="F109" s="624">
        <v>19034.745200000001</v>
      </c>
      <c r="G109" s="625">
        <v>5.3699999999999998E-2</v>
      </c>
    </row>
    <row r="110" spans="1:7" ht="14.1" customHeight="1" x14ac:dyDescent="0.25">
      <c r="A110" s="621" t="s">
        <v>1637</v>
      </c>
      <c r="B110" s="622" t="s">
        <v>1638</v>
      </c>
      <c r="C110" s="623" t="s">
        <v>87</v>
      </c>
      <c r="D110" s="624">
        <v>1736.1110000000001</v>
      </c>
      <c r="E110" s="625">
        <v>1.3597049999999999</v>
      </c>
      <c r="F110" s="624">
        <v>4096.7097999999996</v>
      </c>
      <c r="G110" s="625">
        <v>0</v>
      </c>
    </row>
    <row r="111" spans="1:7" ht="14.1" customHeight="1" x14ac:dyDescent="0.25">
      <c r="A111" s="621" t="s">
        <v>1639</v>
      </c>
      <c r="B111" s="622" t="s">
        <v>1640</v>
      </c>
      <c r="C111" s="623" t="s">
        <v>87</v>
      </c>
      <c r="D111" s="624">
        <v>1957.53</v>
      </c>
      <c r="E111" s="625">
        <v>1.3550880000000001</v>
      </c>
      <c r="F111" s="624">
        <v>4610.1553999999996</v>
      </c>
      <c r="G111" s="625">
        <v>0</v>
      </c>
    </row>
    <row r="112" spans="1:7" ht="14.1" customHeight="1" x14ac:dyDescent="0.25">
      <c r="A112" s="621" t="s">
        <v>1641</v>
      </c>
      <c r="B112" s="622" t="s">
        <v>1642</v>
      </c>
      <c r="C112" s="623" t="s">
        <v>87</v>
      </c>
      <c r="D112" s="624">
        <v>1357.5054</v>
      </c>
      <c r="E112" s="625">
        <v>1.5311570000000001</v>
      </c>
      <c r="F112" s="624">
        <v>3436.0592000000001</v>
      </c>
      <c r="G112" s="625">
        <v>0</v>
      </c>
    </row>
    <row r="113" spans="1:7" ht="14.1" customHeight="1" x14ac:dyDescent="0.25">
      <c r="A113" s="621" t="s">
        <v>1643</v>
      </c>
      <c r="B113" s="622" t="s">
        <v>1644</v>
      </c>
      <c r="C113" s="623" t="s">
        <v>87</v>
      </c>
      <c r="D113" s="624">
        <v>18084.002400000001</v>
      </c>
      <c r="E113" s="625">
        <v>0.81722099999999998</v>
      </c>
      <c r="F113" s="624">
        <v>32862.628900000003</v>
      </c>
      <c r="G113" s="625">
        <v>0</v>
      </c>
    </row>
    <row r="114" spans="1:7" ht="14.1" customHeight="1" x14ac:dyDescent="0.25">
      <c r="A114" s="621" t="s">
        <v>1645</v>
      </c>
      <c r="B114" s="622" t="s">
        <v>1646</v>
      </c>
      <c r="C114" s="623" t="s">
        <v>1439</v>
      </c>
      <c r="D114" s="624">
        <v>8.4268000000000001</v>
      </c>
      <c r="E114" s="625">
        <v>2.051326</v>
      </c>
      <c r="F114" s="624">
        <v>28.2409</v>
      </c>
      <c r="G114" s="625">
        <v>0.3</v>
      </c>
    </row>
    <row r="115" spans="1:7" ht="14.1" customHeight="1" x14ac:dyDescent="0.25">
      <c r="A115" s="621" t="s">
        <v>1647</v>
      </c>
      <c r="B115" s="622" t="s">
        <v>1648</v>
      </c>
      <c r="C115" s="623" t="s">
        <v>87</v>
      </c>
      <c r="D115" s="624">
        <v>2023.2198000000001</v>
      </c>
      <c r="E115" s="625">
        <v>1.2369840000000001</v>
      </c>
      <c r="F115" s="624">
        <v>4525.9102999999996</v>
      </c>
      <c r="G115" s="625">
        <v>0</v>
      </c>
    </row>
  </sheetData>
  <mergeCells count="5">
    <mergeCell ref="A1:A2"/>
    <mergeCell ref="B1:F2"/>
    <mergeCell ref="G1:G2"/>
    <mergeCell ref="A3:G3"/>
    <mergeCell ref="A4:G4"/>
  </mergeCells>
  <pageMargins left="0.51181102362204722" right="0.51181102362204722" top="0.78740157480314965" bottom="0.78740157480314965" header="0.31496062992125984" footer="0.31496062992125984"/>
  <pageSetup paperSize="9" scale="63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V88"/>
  <sheetViews>
    <sheetView view="pageBreakPreview" topLeftCell="A39" zoomScale="55" zoomScaleNormal="60" zoomScaleSheetLayoutView="55" workbookViewId="0">
      <selection activeCell="B6" sqref="B6:I6"/>
    </sheetView>
  </sheetViews>
  <sheetFormatPr defaultRowHeight="14.25" x14ac:dyDescent="0.2"/>
  <cols>
    <col min="1" max="1" width="2.85546875" style="16" customWidth="1"/>
    <col min="2" max="2" width="26.28515625" style="16" customWidth="1"/>
    <col min="3" max="3" width="28.140625" style="16" customWidth="1"/>
    <col min="4" max="7" width="16" style="16" customWidth="1"/>
    <col min="8" max="8" width="19.5703125" style="16" customWidth="1"/>
    <col min="9" max="9" width="16" style="16" customWidth="1"/>
    <col min="10" max="10" width="2.85546875" style="16" customWidth="1"/>
    <col min="11" max="13" width="9.5703125" style="16" customWidth="1"/>
    <col min="14" max="14" width="2.85546875" style="16" customWidth="1"/>
    <col min="15" max="16384" width="9.140625" style="16"/>
  </cols>
  <sheetData>
    <row r="2" spans="1:13" ht="6" customHeight="1" x14ac:dyDescent="0.2"/>
    <row r="3" spans="1:13" ht="22.5" customHeight="1" x14ac:dyDescent="0.35">
      <c r="B3" s="694"/>
      <c r="C3" s="695"/>
      <c r="D3" s="695"/>
      <c r="E3" s="695"/>
      <c r="F3" s="695"/>
      <c r="G3" s="695"/>
      <c r="H3" s="695"/>
      <c r="I3" s="696"/>
    </row>
    <row r="4" spans="1:13" ht="22.5" customHeight="1" x14ac:dyDescent="0.35">
      <c r="B4" s="703" t="str">
        <f>CAPA!B4</f>
        <v>CONCESSIONÁRIA ROTA DE SANTA MARIA</v>
      </c>
      <c r="C4" s="704"/>
      <c r="D4" s="704"/>
      <c r="E4" s="704"/>
      <c r="F4" s="704"/>
      <c r="G4" s="704"/>
      <c r="H4" s="704"/>
      <c r="I4" s="705"/>
    </row>
    <row r="5" spans="1:13" ht="18" customHeight="1" x14ac:dyDescent="0.3">
      <c r="B5" s="17"/>
      <c r="C5" s="18"/>
      <c r="D5" s="1"/>
      <c r="E5" s="19"/>
      <c r="F5" s="19"/>
      <c r="G5" s="19"/>
      <c r="H5" s="19"/>
      <c r="I5" s="20"/>
    </row>
    <row r="6" spans="1:13" ht="22.5" customHeight="1" x14ac:dyDescent="0.3">
      <c r="B6" s="713"/>
      <c r="C6" s="714"/>
      <c r="D6" s="714"/>
      <c r="E6" s="714"/>
      <c r="F6" s="714"/>
      <c r="G6" s="714"/>
      <c r="H6" s="714"/>
      <c r="I6" s="715"/>
      <c r="M6" s="1"/>
    </row>
    <row r="7" spans="1:13" ht="18" customHeight="1" x14ac:dyDescent="0.3">
      <c r="B7" s="53"/>
      <c r="C7" s="54"/>
      <c r="D7" s="54"/>
      <c r="E7" s="54"/>
      <c r="F7" s="54"/>
      <c r="G7" s="54"/>
      <c r="H7" s="54"/>
      <c r="I7" s="55"/>
      <c r="M7" s="1"/>
    </row>
    <row r="8" spans="1:13" ht="22.5" customHeight="1" x14ac:dyDescent="0.3">
      <c r="B8" s="707"/>
      <c r="C8" s="708"/>
      <c r="D8" s="708"/>
      <c r="E8" s="708"/>
      <c r="F8" s="708"/>
      <c r="G8" s="708"/>
      <c r="H8" s="708"/>
      <c r="I8" s="709"/>
    </row>
    <row r="9" spans="1:13" ht="15" customHeight="1" x14ac:dyDescent="0.2">
      <c r="B9" s="716"/>
      <c r="C9" s="716"/>
      <c r="D9" s="716"/>
      <c r="E9" s="716"/>
      <c r="F9" s="716"/>
      <c r="G9" s="716"/>
      <c r="H9" s="716"/>
      <c r="I9" s="716"/>
    </row>
    <row r="10" spans="1:13" s="60" customFormat="1" ht="21.75" customHeight="1" x14ac:dyDescent="0.15">
      <c r="A10" s="75"/>
      <c r="B10" s="98" t="s">
        <v>60</v>
      </c>
      <c r="C10" s="76"/>
      <c r="D10" s="76"/>
      <c r="E10" s="76"/>
      <c r="F10" s="76"/>
      <c r="G10" s="76"/>
      <c r="H10" s="76"/>
      <c r="I10" s="77"/>
      <c r="J10" s="75"/>
    </row>
    <row r="11" spans="1:13" s="60" customFormat="1" ht="12" x14ac:dyDescent="0.15">
      <c r="A11" s="63"/>
      <c r="B11" s="61"/>
      <c r="C11" s="63"/>
      <c r="D11" s="63"/>
      <c r="E11" s="63"/>
      <c r="F11" s="63"/>
      <c r="G11" s="63"/>
      <c r="H11" s="63"/>
      <c r="I11" s="62"/>
    </row>
    <row r="12" spans="1:13" s="60" customFormat="1" ht="12" x14ac:dyDescent="0.15">
      <c r="A12" s="63"/>
      <c r="B12" s="61"/>
      <c r="C12" s="63"/>
      <c r="D12" s="63"/>
      <c r="E12" s="63"/>
      <c r="F12" s="63"/>
      <c r="G12" s="63"/>
      <c r="H12" s="63"/>
      <c r="I12" s="62"/>
    </row>
    <row r="13" spans="1:13" s="60" customFormat="1" ht="12" x14ac:dyDescent="0.15">
      <c r="A13" s="63"/>
      <c r="B13" s="61"/>
      <c r="C13" s="63"/>
      <c r="D13" s="63"/>
      <c r="E13" s="63"/>
      <c r="F13" s="63"/>
      <c r="G13" s="63"/>
      <c r="H13" s="63"/>
      <c r="I13" s="62"/>
    </row>
    <row r="14" spans="1:13" s="60" customFormat="1" ht="12" x14ac:dyDescent="0.15">
      <c r="A14" s="63"/>
      <c r="B14" s="61"/>
      <c r="C14" s="63"/>
      <c r="D14" s="63"/>
      <c r="E14" s="63"/>
      <c r="F14" s="63"/>
      <c r="G14" s="63"/>
      <c r="H14" s="63"/>
      <c r="I14" s="62"/>
    </row>
    <row r="15" spans="1:13" s="60" customFormat="1" ht="12" x14ac:dyDescent="0.15">
      <c r="A15" s="63"/>
      <c r="B15" s="61"/>
      <c r="C15" s="63"/>
      <c r="D15" s="63"/>
      <c r="E15" s="63"/>
      <c r="F15" s="63"/>
      <c r="G15" s="63"/>
      <c r="H15" s="63"/>
      <c r="I15" s="62"/>
    </row>
    <row r="16" spans="1:13" s="60" customFormat="1" ht="12" x14ac:dyDescent="0.15">
      <c r="A16" s="63"/>
      <c r="B16" s="61"/>
      <c r="C16" s="63"/>
      <c r="D16" s="63"/>
      <c r="E16" s="63"/>
      <c r="F16" s="63"/>
      <c r="G16" s="63"/>
      <c r="H16" s="63"/>
      <c r="I16" s="62"/>
    </row>
    <row r="17" spans="1:9" s="60" customFormat="1" ht="12" x14ac:dyDescent="0.15">
      <c r="A17" s="63"/>
      <c r="B17" s="61"/>
      <c r="C17" s="63"/>
      <c r="D17" s="63"/>
      <c r="E17" s="63"/>
      <c r="F17" s="63"/>
      <c r="G17" s="63"/>
      <c r="H17" s="63"/>
      <c r="I17" s="62"/>
    </row>
    <row r="18" spans="1:9" s="60" customFormat="1" ht="12" x14ac:dyDescent="0.15">
      <c r="A18" s="63"/>
      <c r="B18" s="61"/>
      <c r="C18" s="63"/>
      <c r="D18" s="63"/>
      <c r="E18" s="63"/>
      <c r="F18" s="63"/>
      <c r="G18" s="63"/>
      <c r="H18" s="63"/>
      <c r="I18" s="62"/>
    </row>
    <row r="19" spans="1:9" s="60" customFormat="1" ht="12" x14ac:dyDescent="0.15">
      <c r="A19" s="63"/>
      <c r="B19" s="61"/>
      <c r="C19" s="63"/>
      <c r="D19" s="63"/>
      <c r="E19" s="63"/>
      <c r="F19" s="63"/>
      <c r="G19" s="63"/>
      <c r="H19" s="63"/>
      <c r="I19" s="62"/>
    </row>
    <row r="20" spans="1:9" s="60" customFormat="1" ht="12" x14ac:dyDescent="0.15">
      <c r="A20" s="63"/>
      <c r="B20" s="61"/>
      <c r="C20" s="63"/>
      <c r="D20" s="63"/>
      <c r="E20" s="63"/>
      <c r="F20" s="63"/>
      <c r="G20" s="63"/>
      <c r="H20" s="63"/>
      <c r="I20" s="62"/>
    </row>
    <row r="21" spans="1:9" s="60" customFormat="1" ht="12" x14ac:dyDescent="0.15">
      <c r="A21" s="63"/>
      <c r="B21" s="61"/>
      <c r="C21" s="63"/>
      <c r="D21" s="63"/>
      <c r="E21" s="63"/>
      <c r="F21" s="63"/>
      <c r="G21" s="63"/>
      <c r="H21" s="63"/>
      <c r="I21" s="62"/>
    </row>
    <row r="22" spans="1:9" s="60" customFormat="1" ht="12" x14ac:dyDescent="0.15">
      <c r="A22" s="63"/>
      <c r="B22" s="61"/>
      <c r="C22" s="63"/>
      <c r="D22" s="63"/>
      <c r="E22" s="63"/>
      <c r="F22" s="63"/>
      <c r="G22" s="63"/>
      <c r="H22" s="63"/>
      <c r="I22" s="62"/>
    </row>
    <row r="23" spans="1:9" s="60" customFormat="1" ht="12" x14ac:dyDescent="0.15">
      <c r="A23" s="63"/>
      <c r="B23" s="61"/>
      <c r="C23" s="63"/>
      <c r="D23" s="63"/>
      <c r="E23" s="63"/>
      <c r="F23" s="63"/>
      <c r="G23" s="63"/>
      <c r="H23" s="63"/>
      <c r="I23" s="62"/>
    </row>
    <row r="24" spans="1:9" s="60" customFormat="1" ht="12" x14ac:dyDescent="0.15">
      <c r="A24" s="63"/>
      <c r="B24" s="61"/>
      <c r="C24" s="63"/>
      <c r="D24" s="63"/>
      <c r="E24" s="63"/>
      <c r="F24" s="63"/>
      <c r="G24" s="63"/>
      <c r="H24" s="63"/>
      <c r="I24" s="62"/>
    </row>
    <row r="25" spans="1:9" s="60" customFormat="1" ht="12" x14ac:dyDescent="0.15">
      <c r="A25" s="63"/>
      <c r="B25" s="61"/>
      <c r="C25" s="63"/>
      <c r="D25" s="63"/>
      <c r="E25" s="63"/>
      <c r="F25" s="63"/>
      <c r="G25" s="63"/>
      <c r="H25" s="63"/>
      <c r="I25" s="62"/>
    </row>
    <row r="26" spans="1:9" s="60" customFormat="1" ht="12" x14ac:dyDescent="0.15">
      <c r="A26" s="63"/>
      <c r="B26" s="61"/>
      <c r="C26" s="63"/>
      <c r="D26" s="63"/>
      <c r="E26" s="63"/>
      <c r="F26" s="63"/>
      <c r="G26" s="63"/>
      <c r="H26" s="63"/>
      <c r="I26" s="62"/>
    </row>
    <row r="27" spans="1:9" s="60" customFormat="1" ht="12" x14ac:dyDescent="0.15">
      <c r="A27" s="63"/>
      <c r="B27" s="61"/>
      <c r="C27" s="63"/>
      <c r="D27" s="63"/>
      <c r="E27" s="63"/>
      <c r="F27" s="63"/>
      <c r="G27" s="63"/>
      <c r="H27" s="63"/>
      <c r="I27" s="62"/>
    </row>
    <row r="28" spans="1:9" s="60" customFormat="1" ht="12" x14ac:dyDescent="0.15">
      <c r="A28" s="63"/>
      <c r="B28" s="61"/>
      <c r="C28" s="63"/>
      <c r="D28" s="63"/>
      <c r="E28" s="63"/>
      <c r="F28" s="63"/>
      <c r="G28" s="63"/>
      <c r="H28" s="63"/>
      <c r="I28" s="62"/>
    </row>
    <row r="29" spans="1:9" s="60" customFormat="1" ht="12" x14ac:dyDescent="0.15">
      <c r="A29" s="63"/>
      <c r="B29" s="61"/>
      <c r="C29" s="63"/>
      <c r="D29" s="63"/>
      <c r="E29" s="63"/>
      <c r="F29" s="63"/>
      <c r="G29" s="63"/>
      <c r="H29" s="63"/>
      <c r="I29" s="62"/>
    </row>
    <row r="30" spans="1:9" s="60" customFormat="1" ht="12" x14ac:dyDescent="0.15">
      <c r="A30" s="63"/>
      <c r="B30" s="61"/>
      <c r="C30" s="63"/>
      <c r="D30" s="63"/>
      <c r="E30" s="63"/>
      <c r="F30" s="63"/>
      <c r="G30" s="63"/>
      <c r="H30" s="63"/>
      <c r="I30" s="62"/>
    </row>
    <row r="31" spans="1:9" s="60" customFormat="1" ht="12" x14ac:dyDescent="0.15">
      <c r="A31" s="63"/>
      <c r="B31" s="61"/>
      <c r="C31" s="63"/>
      <c r="D31" s="63"/>
      <c r="E31" s="63"/>
      <c r="F31" s="63"/>
      <c r="G31" s="63"/>
      <c r="H31" s="63"/>
      <c r="I31" s="62"/>
    </row>
    <row r="32" spans="1:9" s="60" customFormat="1" ht="12" x14ac:dyDescent="0.15">
      <c r="A32" s="63"/>
      <c r="B32" s="61"/>
      <c r="C32" s="63"/>
      <c r="D32" s="63"/>
      <c r="E32" s="63"/>
      <c r="F32" s="63"/>
      <c r="G32" s="63"/>
      <c r="H32" s="63"/>
      <c r="I32" s="62"/>
    </row>
    <row r="33" spans="1:9" s="60" customFormat="1" ht="12" x14ac:dyDescent="0.15">
      <c r="A33" s="63"/>
      <c r="B33" s="61"/>
      <c r="C33" s="63"/>
      <c r="D33" s="63"/>
      <c r="E33" s="63"/>
      <c r="F33" s="63"/>
      <c r="G33" s="63"/>
      <c r="H33" s="63"/>
      <c r="I33" s="62"/>
    </row>
    <row r="34" spans="1:9" s="60" customFormat="1" ht="12" x14ac:dyDescent="0.15">
      <c r="A34" s="63"/>
      <c r="B34" s="61"/>
      <c r="C34" s="63"/>
      <c r="D34" s="63"/>
      <c r="E34" s="63"/>
      <c r="F34" s="63"/>
      <c r="G34" s="63"/>
      <c r="H34" s="63"/>
      <c r="I34" s="62"/>
    </row>
    <row r="35" spans="1:9" s="60" customFormat="1" ht="12" x14ac:dyDescent="0.15">
      <c r="A35" s="63"/>
      <c r="B35" s="61"/>
      <c r="C35" s="63"/>
      <c r="D35" s="63"/>
      <c r="E35" s="63"/>
      <c r="F35" s="63"/>
      <c r="G35" s="63"/>
      <c r="H35" s="63"/>
      <c r="I35" s="62"/>
    </row>
    <row r="36" spans="1:9" s="60" customFormat="1" ht="12" x14ac:dyDescent="0.15">
      <c r="A36" s="63"/>
      <c r="B36" s="61"/>
      <c r="C36" s="63"/>
      <c r="D36" s="63"/>
      <c r="E36" s="63"/>
      <c r="F36" s="63"/>
      <c r="G36" s="63"/>
      <c r="H36" s="63"/>
      <c r="I36" s="62"/>
    </row>
    <row r="37" spans="1:9" s="60" customFormat="1" ht="12" x14ac:dyDescent="0.15">
      <c r="A37" s="63"/>
      <c r="B37" s="61"/>
      <c r="C37" s="63"/>
      <c r="D37" s="63"/>
      <c r="E37" s="63"/>
      <c r="F37" s="63"/>
      <c r="G37" s="63"/>
      <c r="H37" s="63"/>
      <c r="I37" s="62"/>
    </row>
    <row r="38" spans="1:9" s="60" customFormat="1" ht="12" x14ac:dyDescent="0.15">
      <c r="A38" s="63"/>
      <c r="B38" s="61"/>
      <c r="C38" s="63"/>
      <c r="D38" s="63"/>
      <c r="E38" s="63"/>
      <c r="F38" s="63"/>
      <c r="G38" s="63"/>
      <c r="H38" s="63"/>
      <c r="I38" s="62"/>
    </row>
    <row r="39" spans="1:9" s="60" customFormat="1" ht="12" x14ac:dyDescent="0.15">
      <c r="A39" s="63"/>
      <c r="B39" s="61"/>
      <c r="C39" s="63"/>
      <c r="D39" s="63"/>
      <c r="E39" s="63"/>
      <c r="F39" s="63"/>
      <c r="G39" s="63"/>
      <c r="H39" s="63"/>
      <c r="I39" s="62"/>
    </row>
    <row r="40" spans="1:9" s="60" customFormat="1" ht="12" x14ac:dyDescent="0.15">
      <c r="A40" s="63"/>
      <c r="B40" s="61"/>
      <c r="C40" s="63"/>
      <c r="D40" s="63"/>
      <c r="E40" s="63"/>
      <c r="F40" s="63"/>
      <c r="G40" s="63"/>
      <c r="H40" s="63"/>
      <c r="I40" s="62"/>
    </row>
    <row r="41" spans="1:9" s="60" customFormat="1" ht="12" x14ac:dyDescent="0.15">
      <c r="A41" s="63"/>
      <c r="B41" s="61"/>
      <c r="C41" s="63"/>
      <c r="D41" s="63"/>
      <c r="E41" s="63"/>
      <c r="F41" s="63"/>
      <c r="G41" s="63"/>
      <c r="H41" s="63"/>
      <c r="I41" s="62"/>
    </row>
    <row r="42" spans="1:9" s="60" customFormat="1" ht="12" x14ac:dyDescent="0.15">
      <c r="A42" s="63"/>
      <c r="B42" s="61"/>
      <c r="C42" s="63"/>
      <c r="D42" s="63"/>
      <c r="E42" s="63"/>
      <c r="F42" s="63"/>
      <c r="G42" s="63"/>
      <c r="H42" s="63"/>
      <c r="I42" s="62"/>
    </row>
    <row r="43" spans="1:9" s="60" customFormat="1" ht="12" x14ac:dyDescent="0.15">
      <c r="A43" s="63"/>
      <c r="B43" s="61"/>
      <c r="C43" s="63"/>
      <c r="D43" s="63"/>
      <c r="E43" s="63"/>
      <c r="F43" s="63"/>
      <c r="G43" s="63"/>
      <c r="H43" s="63"/>
      <c r="I43" s="62"/>
    </row>
    <row r="44" spans="1:9" s="60" customFormat="1" ht="12" x14ac:dyDescent="0.15">
      <c r="A44" s="63"/>
      <c r="B44" s="61"/>
      <c r="C44" s="63"/>
      <c r="D44" s="63"/>
      <c r="E44" s="63"/>
      <c r="F44" s="63"/>
      <c r="G44" s="63"/>
      <c r="H44" s="63"/>
      <c r="I44" s="62"/>
    </row>
    <row r="45" spans="1:9" s="60" customFormat="1" ht="12" x14ac:dyDescent="0.15">
      <c r="A45" s="63"/>
      <c r="B45" s="61"/>
      <c r="C45" s="63"/>
      <c r="D45" s="63"/>
      <c r="E45" s="63"/>
      <c r="F45" s="63"/>
      <c r="G45" s="63"/>
      <c r="H45" s="63"/>
      <c r="I45" s="62"/>
    </row>
    <row r="46" spans="1:9" s="60" customFormat="1" ht="12" x14ac:dyDescent="0.15">
      <c r="A46" s="63"/>
      <c r="B46" s="61"/>
      <c r="C46" s="63"/>
      <c r="D46" s="63"/>
      <c r="E46" s="63"/>
      <c r="F46" s="63"/>
      <c r="G46" s="63"/>
      <c r="H46" s="63"/>
      <c r="I46" s="62"/>
    </row>
    <row r="47" spans="1:9" s="60" customFormat="1" ht="12" x14ac:dyDescent="0.15">
      <c r="A47" s="63"/>
      <c r="B47" s="61"/>
      <c r="C47" s="63"/>
      <c r="D47" s="63"/>
      <c r="E47" s="63"/>
      <c r="F47" s="63"/>
      <c r="G47" s="63"/>
      <c r="H47" s="63"/>
      <c r="I47" s="62"/>
    </row>
    <row r="48" spans="1:9" s="60" customFormat="1" ht="12" x14ac:dyDescent="0.15">
      <c r="A48" s="63"/>
      <c r="B48" s="61"/>
      <c r="C48" s="63"/>
      <c r="D48" s="63"/>
      <c r="E48" s="63"/>
      <c r="F48" s="63"/>
      <c r="G48" s="63"/>
      <c r="H48" s="63"/>
      <c r="I48" s="62"/>
    </row>
    <row r="49" spans="1:9" s="60" customFormat="1" ht="12" x14ac:dyDescent="0.15">
      <c r="A49" s="63"/>
      <c r="B49" s="61"/>
      <c r="C49" s="63"/>
      <c r="D49" s="63"/>
      <c r="E49" s="63"/>
      <c r="F49" s="63"/>
      <c r="G49" s="63"/>
      <c r="H49" s="63"/>
      <c r="I49" s="62"/>
    </row>
    <row r="50" spans="1:9" s="60" customFormat="1" ht="12" x14ac:dyDescent="0.15">
      <c r="A50" s="63"/>
      <c r="B50" s="61"/>
      <c r="C50" s="63"/>
      <c r="D50" s="63"/>
      <c r="E50" s="63"/>
      <c r="F50" s="63"/>
      <c r="G50" s="63"/>
      <c r="H50" s="63"/>
      <c r="I50" s="62"/>
    </row>
    <row r="51" spans="1:9" s="60" customFormat="1" ht="12" x14ac:dyDescent="0.15">
      <c r="A51" s="63"/>
      <c r="B51" s="61"/>
      <c r="C51" s="63"/>
      <c r="D51" s="63"/>
      <c r="E51" s="63"/>
      <c r="F51" s="63"/>
      <c r="G51" s="63"/>
      <c r="H51" s="63"/>
      <c r="I51" s="62"/>
    </row>
    <row r="52" spans="1:9" s="60" customFormat="1" ht="12" x14ac:dyDescent="0.15">
      <c r="A52" s="63"/>
      <c r="B52" s="61"/>
      <c r="C52" s="63"/>
      <c r="D52" s="63"/>
      <c r="E52" s="63"/>
      <c r="F52" s="63"/>
      <c r="G52" s="63"/>
      <c r="H52" s="63"/>
      <c r="I52" s="62"/>
    </row>
    <row r="53" spans="1:9" s="60" customFormat="1" ht="12" x14ac:dyDescent="0.15">
      <c r="A53" s="63"/>
      <c r="B53" s="61"/>
      <c r="C53" s="63"/>
      <c r="D53" s="63"/>
      <c r="E53" s="63"/>
      <c r="F53" s="63"/>
      <c r="G53" s="63"/>
      <c r="H53" s="63"/>
      <c r="I53" s="62"/>
    </row>
    <row r="54" spans="1:9" s="60" customFormat="1" ht="12" x14ac:dyDescent="0.15">
      <c r="A54" s="63"/>
      <c r="B54" s="61"/>
      <c r="C54" s="63"/>
      <c r="D54" s="63"/>
      <c r="E54" s="63"/>
      <c r="F54" s="63"/>
      <c r="G54" s="63"/>
      <c r="H54" s="63"/>
      <c r="I54" s="62"/>
    </row>
    <row r="55" spans="1:9" s="60" customFormat="1" ht="12" x14ac:dyDescent="0.15">
      <c r="A55" s="63"/>
      <c r="B55" s="61"/>
      <c r="C55" s="63"/>
      <c r="D55" s="63"/>
      <c r="E55" s="63"/>
      <c r="F55" s="63"/>
      <c r="G55" s="63"/>
      <c r="H55" s="63"/>
      <c r="I55" s="62"/>
    </row>
    <row r="56" spans="1:9" s="60" customFormat="1" ht="12" x14ac:dyDescent="0.15">
      <c r="A56" s="61"/>
      <c r="B56" s="61"/>
      <c r="C56" s="63"/>
      <c r="D56" s="63"/>
      <c r="E56" s="63"/>
      <c r="F56" s="63"/>
      <c r="G56" s="63"/>
      <c r="H56" s="63"/>
      <c r="I56" s="62"/>
    </row>
    <row r="57" spans="1:9" s="60" customFormat="1" ht="12" x14ac:dyDescent="0.15">
      <c r="A57" s="61"/>
      <c r="B57" s="61"/>
      <c r="C57" s="63"/>
      <c r="D57" s="63"/>
      <c r="E57" s="63"/>
      <c r="F57" s="63"/>
      <c r="G57" s="63"/>
      <c r="H57" s="63"/>
      <c r="I57" s="62"/>
    </row>
    <row r="58" spans="1:9" s="60" customFormat="1" ht="12" x14ac:dyDescent="0.15">
      <c r="A58" s="61"/>
      <c r="B58" s="61"/>
      <c r="C58" s="63"/>
      <c r="D58" s="63"/>
      <c r="E58" s="63"/>
      <c r="F58" s="63"/>
      <c r="G58" s="63"/>
      <c r="H58" s="63"/>
      <c r="I58" s="62"/>
    </row>
    <row r="59" spans="1:9" s="60" customFormat="1" ht="12" x14ac:dyDescent="0.15">
      <c r="A59" s="61"/>
      <c r="B59" s="61"/>
      <c r="C59" s="63"/>
      <c r="D59" s="63"/>
      <c r="E59" s="63"/>
      <c r="F59" s="63"/>
      <c r="G59" s="63"/>
      <c r="H59" s="63"/>
      <c r="I59" s="62"/>
    </row>
    <row r="60" spans="1:9" s="60" customFormat="1" ht="12" x14ac:dyDescent="0.15">
      <c r="A60" s="61"/>
      <c r="B60" s="61"/>
      <c r="C60" s="63"/>
      <c r="D60" s="63"/>
      <c r="E60" s="63"/>
      <c r="F60" s="63"/>
      <c r="G60" s="63"/>
      <c r="H60" s="63"/>
      <c r="I60" s="62"/>
    </row>
    <row r="61" spans="1:9" s="60" customFormat="1" ht="12" x14ac:dyDescent="0.15">
      <c r="A61" s="61"/>
      <c r="B61" s="61"/>
      <c r="C61" s="63"/>
      <c r="D61" s="63"/>
      <c r="E61" s="63"/>
      <c r="F61" s="63"/>
      <c r="G61" s="63"/>
      <c r="H61" s="63"/>
      <c r="I61" s="62"/>
    </row>
    <row r="62" spans="1:9" s="60" customFormat="1" ht="12" x14ac:dyDescent="0.15">
      <c r="A62" s="61"/>
      <c r="B62" s="61"/>
      <c r="C62" s="63"/>
      <c r="D62" s="63"/>
      <c r="E62" s="63"/>
      <c r="F62" s="63"/>
      <c r="G62" s="63"/>
      <c r="H62" s="63"/>
      <c r="I62" s="62"/>
    </row>
    <row r="63" spans="1:9" s="60" customFormat="1" ht="12" x14ac:dyDescent="0.15">
      <c r="A63" s="61"/>
      <c r="B63" s="61"/>
      <c r="C63" s="63"/>
      <c r="D63" s="63"/>
      <c r="E63" s="63"/>
      <c r="F63" s="63"/>
      <c r="G63" s="63"/>
      <c r="H63" s="63"/>
      <c r="I63" s="62"/>
    </row>
    <row r="64" spans="1:9" s="60" customFormat="1" ht="15" x14ac:dyDescent="0.25">
      <c r="A64" s="61"/>
      <c r="B64" s="61"/>
      <c r="C64" s="63"/>
      <c r="D64" s="63"/>
      <c r="E64"/>
      <c r="F64" s="63"/>
      <c r="G64" s="63"/>
      <c r="H64" s="63"/>
      <c r="I64" s="62"/>
    </row>
    <row r="65" spans="1:22" s="60" customFormat="1" ht="12" x14ac:dyDescent="0.15">
      <c r="A65" s="61"/>
      <c r="B65" s="61"/>
      <c r="C65" s="63"/>
      <c r="D65" s="63"/>
      <c r="E65" s="63"/>
      <c r="F65" s="63"/>
      <c r="G65" s="63"/>
      <c r="H65" s="63"/>
      <c r="I65" s="62"/>
    </row>
    <row r="66" spans="1:22" s="60" customFormat="1" ht="12" x14ac:dyDescent="0.15">
      <c r="A66" s="61"/>
      <c r="B66" s="61"/>
      <c r="C66" s="63"/>
      <c r="D66" s="63"/>
      <c r="E66" s="63"/>
      <c r="F66" s="63"/>
      <c r="G66" s="63"/>
      <c r="H66" s="63"/>
      <c r="I66" s="62"/>
    </row>
    <row r="67" spans="1:22" s="60" customFormat="1" ht="12" x14ac:dyDescent="0.15">
      <c r="A67" s="61"/>
      <c r="B67" s="61"/>
      <c r="C67" s="63"/>
      <c r="D67" s="63"/>
      <c r="E67" s="63"/>
      <c r="F67" s="63"/>
      <c r="G67" s="63"/>
      <c r="H67" s="63"/>
      <c r="I67" s="62"/>
    </row>
    <row r="68" spans="1:22" s="60" customFormat="1" ht="12" x14ac:dyDescent="0.15">
      <c r="A68" s="61"/>
      <c r="B68" s="61"/>
      <c r="C68" s="63"/>
      <c r="D68" s="63"/>
      <c r="E68" s="63"/>
      <c r="F68" s="63"/>
      <c r="G68" s="63"/>
      <c r="H68" s="63"/>
      <c r="I68" s="62"/>
    </row>
    <row r="69" spans="1:22" s="60" customFormat="1" ht="12" x14ac:dyDescent="0.15">
      <c r="A69" s="61"/>
      <c r="B69" s="61"/>
      <c r="C69" s="63"/>
      <c r="D69" s="63"/>
      <c r="E69" s="63"/>
      <c r="F69" s="63"/>
      <c r="G69" s="63"/>
      <c r="H69" s="63"/>
      <c r="I69" s="62"/>
    </row>
    <row r="70" spans="1:22" s="60" customFormat="1" ht="12" x14ac:dyDescent="0.15">
      <c r="A70" s="61"/>
      <c r="B70" s="61"/>
      <c r="C70" s="63"/>
      <c r="D70" s="63"/>
      <c r="E70" s="63"/>
      <c r="F70" s="63"/>
      <c r="G70" s="63"/>
      <c r="H70" s="63"/>
      <c r="I70" s="62"/>
      <c r="P70" s="63"/>
      <c r="Q70" s="63"/>
      <c r="R70" s="63"/>
      <c r="S70" s="63"/>
      <c r="T70" s="63"/>
      <c r="U70" s="63"/>
      <c r="V70" s="63"/>
    </row>
    <row r="71" spans="1:22" s="60" customFormat="1" ht="12" x14ac:dyDescent="0.15">
      <c r="A71" s="61"/>
      <c r="B71" s="61"/>
      <c r="C71" s="63"/>
      <c r="D71" s="63"/>
      <c r="E71" s="63"/>
      <c r="F71" s="63"/>
      <c r="G71" s="63"/>
      <c r="H71" s="63"/>
      <c r="I71" s="62"/>
      <c r="P71" s="63"/>
      <c r="Q71" s="63"/>
      <c r="R71" s="63"/>
      <c r="S71" s="63"/>
      <c r="T71" s="63"/>
      <c r="U71" s="63"/>
      <c r="V71" s="63"/>
    </row>
    <row r="72" spans="1:22" s="60" customFormat="1" ht="12" x14ac:dyDescent="0.15">
      <c r="A72" s="61"/>
      <c r="B72" s="61"/>
      <c r="C72" s="63"/>
      <c r="D72" s="63"/>
      <c r="E72" s="63"/>
      <c r="F72" s="63"/>
      <c r="G72" s="63"/>
      <c r="H72" s="63"/>
      <c r="I72" s="62"/>
      <c r="P72" s="63"/>
      <c r="Q72" s="63"/>
      <c r="R72" s="63"/>
      <c r="S72" s="63"/>
      <c r="T72" s="63"/>
      <c r="U72" s="63"/>
      <c r="V72" s="63"/>
    </row>
    <row r="73" spans="1:22" s="60" customFormat="1" ht="12" x14ac:dyDescent="0.15">
      <c r="A73" s="61"/>
      <c r="B73" s="61"/>
      <c r="C73" s="63"/>
      <c r="D73" s="63"/>
      <c r="E73" s="63"/>
      <c r="F73" s="63"/>
      <c r="G73" s="63"/>
      <c r="H73" s="63"/>
      <c r="I73" s="62"/>
      <c r="P73" s="63"/>
      <c r="Q73" s="63"/>
      <c r="R73" s="63"/>
      <c r="S73" s="63"/>
      <c r="T73" s="63"/>
      <c r="U73" s="63"/>
      <c r="V73" s="63"/>
    </row>
    <row r="74" spans="1:22" s="60" customFormat="1" ht="21" x14ac:dyDescent="0.15">
      <c r="A74" s="61"/>
      <c r="B74" s="61"/>
      <c r="C74" s="63"/>
      <c r="D74" s="63"/>
      <c r="E74" s="63"/>
      <c r="F74" s="63"/>
      <c r="G74" s="63"/>
      <c r="H74" s="63"/>
      <c r="I74" s="62"/>
      <c r="P74" s="63"/>
      <c r="Q74" s="63"/>
      <c r="R74" s="63"/>
      <c r="S74" s="63"/>
      <c r="T74" s="711"/>
      <c r="U74" s="711"/>
      <c r="V74" s="711"/>
    </row>
    <row r="75" spans="1:22" s="60" customFormat="1" ht="12" x14ac:dyDescent="0.15">
      <c r="A75" s="61"/>
      <c r="B75" s="61"/>
      <c r="C75" s="63"/>
      <c r="D75" s="63"/>
      <c r="E75" s="63"/>
      <c r="F75" s="63"/>
      <c r="G75" s="63"/>
      <c r="H75" s="63"/>
      <c r="I75" s="62"/>
      <c r="P75" s="63"/>
      <c r="Q75" s="63"/>
      <c r="R75" s="63"/>
      <c r="S75" s="63"/>
      <c r="T75" s="63"/>
      <c r="U75" s="63"/>
      <c r="V75" s="63"/>
    </row>
    <row r="76" spans="1:22" s="60" customFormat="1" ht="12" x14ac:dyDescent="0.15">
      <c r="A76" s="61"/>
      <c r="B76" s="61"/>
      <c r="C76" s="63"/>
      <c r="D76" s="63"/>
      <c r="E76" s="63"/>
      <c r="F76" s="63"/>
      <c r="G76" s="63"/>
      <c r="H76" s="63"/>
      <c r="I76" s="62"/>
      <c r="P76" s="63"/>
      <c r="Q76" s="63"/>
      <c r="R76" s="63"/>
      <c r="S76" s="63"/>
      <c r="T76" s="63"/>
      <c r="U76" s="63"/>
      <c r="V76" s="63"/>
    </row>
    <row r="77" spans="1:22" s="60" customFormat="1" ht="12" x14ac:dyDescent="0.15">
      <c r="A77" s="61"/>
      <c r="B77" s="61"/>
      <c r="C77" s="63"/>
      <c r="D77" s="63"/>
      <c r="E77" s="63"/>
      <c r="F77" s="63"/>
      <c r="G77" s="63"/>
      <c r="H77" s="63"/>
      <c r="I77" s="62"/>
      <c r="P77" s="63"/>
      <c r="Q77" s="63"/>
      <c r="R77" s="63"/>
      <c r="S77" s="63"/>
      <c r="T77" s="63"/>
      <c r="U77" s="63"/>
      <c r="V77" s="63"/>
    </row>
    <row r="78" spans="1:22" s="60" customFormat="1" ht="12" x14ac:dyDescent="0.15">
      <c r="A78" s="61"/>
      <c r="B78" s="61"/>
      <c r="C78" s="63"/>
      <c r="D78" s="63"/>
      <c r="E78" s="63"/>
      <c r="F78" s="63"/>
      <c r="G78" s="63"/>
      <c r="H78" s="63"/>
      <c r="I78" s="62"/>
      <c r="P78" s="63"/>
      <c r="Q78" s="63"/>
      <c r="R78" s="63"/>
      <c r="S78" s="63"/>
      <c r="T78" s="63"/>
      <c r="U78" s="63"/>
      <c r="V78" s="63"/>
    </row>
    <row r="79" spans="1:22" s="60" customFormat="1" ht="15" x14ac:dyDescent="0.25">
      <c r="A79" s="61"/>
      <c r="B79" s="61"/>
      <c r="C79" s="63"/>
      <c r="D79" s="63"/>
      <c r="E79" s="63"/>
      <c r="F79" s="73"/>
      <c r="G79" s="63"/>
      <c r="H79" s="63"/>
      <c r="I79" s="62"/>
      <c r="P79" s="63"/>
      <c r="Q79" s="63"/>
      <c r="R79" s="63"/>
      <c r="S79" s="63"/>
      <c r="T79" s="63"/>
      <c r="U79" s="63"/>
      <c r="V79" s="63"/>
    </row>
    <row r="80" spans="1:22" s="60" customFormat="1" ht="12" x14ac:dyDescent="0.15">
      <c r="A80" s="63"/>
      <c r="B80" s="78"/>
      <c r="C80" s="79"/>
      <c r="D80" s="79"/>
      <c r="E80" s="79"/>
      <c r="F80" s="79"/>
      <c r="G80" s="79"/>
      <c r="H80" s="79"/>
      <c r="I80" s="80"/>
      <c r="J80" s="63"/>
      <c r="P80" s="63"/>
      <c r="Q80" s="63"/>
      <c r="R80" s="63"/>
      <c r="S80" s="63"/>
      <c r="T80" s="63"/>
      <c r="U80" s="63"/>
      <c r="V80" s="63"/>
    </row>
    <row r="81" spans="1:22" s="60" customFormat="1" ht="12" x14ac:dyDescent="0.15">
      <c r="A81" s="87"/>
      <c r="B81" s="88"/>
      <c r="C81" s="88"/>
      <c r="D81" s="88"/>
      <c r="E81" s="88"/>
      <c r="F81" s="88"/>
      <c r="G81" s="88"/>
      <c r="H81" s="88"/>
      <c r="I81" s="88"/>
      <c r="J81" s="87"/>
      <c r="P81" s="63"/>
      <c r="Q81" s="63"/>
      <c r="R81" s="63"/>
      <c r="S81" s="712"/>
      <c r="T81" s="712"/>
      <c r="U81" s="712"/>
      <c r="V81" s="63"/>
    </row>
    <row r="82" spans="1:22" s="60" customFormat="1" ht="15.75" x14ac:dyDescent="0.25">
      <c r="A82" s="63"/>
      <c r="B82" s="81"/>
      <c r="C82" s="82"/>
      <c r="D82" s="82"/>
      <c r="E82" s="82"/>
      <c r="F82" s="82"/>
      <c r="G82" s="82"/>
      <c r="H82" s="82"/>
      <c r="I82" s="83"/>
      <c r="J82" s="66"/>
      <c r="P82" s="63"/>
      <c r="Q82" s="63"/>
      <c r="R82" s="63"/>
      <c r="S82" s="712"/>
      <c r="T82" s="712"/>
      <c r="U82" s="712"/>
      <c r="V82" s="63"/>
    </row>
    <row r="83" spans="1:22" s="60" customFormat="1" ht="15.75" x14ac:dyDescent="0.25">
      <c r="B83" s="65" t="s">
        <v>66</v>
      </c>
      <c r="C83" s="74" t="str">
        <f>CAPA!$D$31</f>
        <v>RSC-287 KM 28+000 ao KM+180+000</v>
      </c>
      <c r="D83" s="84"/>
      <c r="E83" s="84"/>
      <c r="F83" s="84"/>
      <c r="G83" s="84"/>
      <c r="H83" s="84"/>
      <c r="I83" s="99"/>
      <c r="J83" s="56"/>
      <c r="P83" s="63"/>
      <c r="Q83" s="63"/>
      <c r="R83" s="63"/>
      <c r="S83" s="63"/>
      <c r="T83" s="63"/>
      <c r="U83" s="63"/>
      <c r="V83" s="63"/>
    </row>
    <row r="84" spans="1:22" s="60" customFormat="1" ht="15.75" x14ac:dyDescent="0.25">
      <c r="B84" s="65"/>
      <c r="C84" s="84"/>
      <c r="D84" s="84"/>
      <c r="E84" s="69"/>
      <c r="F84" s="69"/>
      <c r="G84" s="69"/>
      <c r="H84" s="84"/>
      <c r="I84" s="99"/>
      <c r="J84" s="68"/>
    </row>
    <row r="85" spans="1:22" s="60" customFormat="1" ht="15.75" x14ac:dyDescent="0.25">
      <c r="B85" s="65" t="s">
        <v>69</v>
      </c>
      <c r="C85" s="84" t="str">
        <f>CAPA!$B$20</f>
        <v>Aumento de patologias entre a data da proposta
e a assunção da Concessionária</v>
      </c>
      <c r="D85" s="86"/>
      <c r="E85" s="85"/>
      <c r="F85" s="100"/>
      <c r="G85" s="69"/>
      <c r="H85" s="84" t="s">
        <v>61</v>
      </c>
      <c r="I85" s="67" t="str">
        <f>CAPA!D48</f>
        <v>16/01/22</v>
      </c>
      <c r="J85" s="68"/>
    </row>
    <row r="86" spans="1:22" s="60" customFormat="1" ht="15.75" x14ac:dyDescent="0.25">
      <c r="B86" s="65"/>
      <c r="C86" s="85"/>
      <c r="D86" s="86"/>
      <c r="E86" s="85"/>
      <c r="F86" s="100"/>
      <c r="G86" s="69"/>
      <c r="H86" s="69"/>
      <c r="I86" s="67"/>
    </row>
    <row r="87" spans="1:22" s="60" customFormat="1" ht="15.75" x14ac:dyDescent="0.25">
      <c r="B87" s="70"/>
      <c r="C87" s="71"/>
      <c r="D87" s="71"/>
      <c r="E87" s="71"/>
      <c r="F87" s="71"/>
      <c r="G87" s="71"/>
      <c r="H87" s="71"/>
      <c r="I87" s="72"/>
      <c r="J87" s="69"/>
    </row>
    <row r="88" spans="1:22" s="60" customFormat="1" ht="12.75" customHeight="1" x14ac:dyDescent="0.2">
      <c r="A88" s="16"/>
      <c r="B88" s="16"/>
      <c r="C88" s="16"/>
      <c r="D88" s="16"/>
      <c r="E88" s="16"/>
      <c r="F88" s="16"/>
      <c r="G88" s="16"/>
      <c r="H88" s="16"/>
      <c r="I88" s="16"/>
      <c r="J88" s="63"/>
    </row>
  </sheetData>
  <mergeCells count="8">
    <mergeCell ref="T74:V74"/>
    <mergeCell ref="S81:T82"/>
    <mergeCell ref="U81:U82"/>
    <mergeCell ref="B3:I3"/>
    <mergeCell ref="B4:I4"/>
    <mergeCell ref="B6:I6"/>
    <mergeCell ref="B8:I8"/>
    <mergeCell ref="B9:I9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5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74"/>
  <sheetViews>
    <sheetView view="pageBreakPreview" topLeftCell="A19" zoomScale="70" zoomScaleNormal="100" zoomScaleSheetLayoutView="70" workbookViewId="0">
      <selection activeCell="D40" sqref="D40:D41"/>
    </sheetView>
  </sheetViews>
  <sheetFormatPr defaultRowHeight="15" x14ac:dyDescent="0.2"/>
  <cols>
    <col min="1" max="1" width="2.85546875" style="16" customWidth="1"/>
    <col min="2" max="2" width="27.5703125" style="97" customWidth="1"/>
    <col min="3" max="3" width="91.7109375" style="97" customWidth="1"/>
    <col min="4" max="4" width="38.5703125" style="97" customWidth="1"/>
    <col min="5" max="5" width="3.85546875" style="89" customWidth="1"/>
    <col min="6" max="6" width="9.140625" style="89"/>
    <col min="7" max="7" width="13" style="89" bestFit="1" customWidth="1"/>
    <col min="8" max="8" width="16.28515625" style="89" customWidth="1"/>
    <col min="9" max="9" width="24.5703125" style="89" customWidth="1"/>
    <col min="10" max="241" width="9.140625" style="89"/>
    <col min="242" max="242" width="17.5703125" style="89" customWidth="1"/>
    <col min="243" max="243" width="52.140625" style="89" customWidth="1"/>
    <col min="244" max="244" width="22" style="89" customWidth="1"/>
    <col min="245" max="245" width="9.7109375" style="89" customWidth="1"/>
    <col min="246" max="246" width="9.5703125" style="89" customWidth="1"/>
    <col min="247" max="247" width="6.28515625" style="89" customWidth="1"/>
    <col min="248" max="248" width="8.85546875" style="89" customWidth="1"/>
    <col min="249" max="249" width="47.28515625" style="89" customWidth="1"/>
    <col min="250" max="250" width="9.140625" style="89"/>
    <col min="251" max="251" width="16.7109375" style="89" bestFit="1" customWidth="1"/>
    <col min="252" max="497" width="9.140625" style="89"/>
    <col min="498" max="498" width="17.5703125" style="89" customWidth="1"/>
    <col min="499" max="499" width="52.140625" style="89" customWidth="1"/>
    <col min="500" max="500" width="22" style="89" customWidth="1"/>
    <col min="501" max="501" width="9.7109375" style="89" customWidth="1"/>
    <col min="502" max="502" width="9.5703125" style="89" customWidth="1"/>
    <col min="503" max="503" width="6.28515625" style="89" customWidth="1"/>
    <col min="504" max="504" width="8.85546875" style="89" customWidth="1"/>
    <col min="505" max="505" width="47.28515625" style="89" customWidth="1"/>
    <col min="506" max="506" width="9.140625" style="89"/>
    <col min="507" max="507" width="16.7109375" style="89" bestFit="1" customWidth="1"/>
    <col min="508" max="753" width="9.140625" style="89"/>
    <col min="754" max="754" width="17.5703125" style="89" customWidth="1"/>
    <col min="755" max="755" width="52.140625" style="89" customWidth="1"/>
    <col min="756" max="756" width="22" style="89" customWidth="1"/>
    <col min="757" max="757" width="9.7109375" style="89" customWidth="1"/>
    <col min="758" max="758" width="9.5703125" style="89" customWidth="1"/>
    <col min="759" max="759" width="6.28515625" style="89" customWidth="1"/>
    <col min="760" max="760" width="8.85546875" style="89" customWidth="1"/>
    <col min="761" max="761" width="47.28515625" style="89" customWidth="1"/>
    <col min="762" max="762" width="9.140625" style="89"/>
    <col min="763" max="763" width="16.7109375" style="89" bestFit="1" customWidth="1"/>
    <col min="764" max="1009" width="9.140625" style="89"/>
    <col min="1010" max="1010" width="17.5703125" style="89" customWidth="1"/>
    <col min="1011" max="1011" width="52.140625" style="89" customWidth="1"/>
    <col min="1012" max="1012" width="22" style="89" customWidth="1"/>
    <col min="1013" max="1013" width="9.7109375" style="89" customWidth="1"/>
    <col min="1014" max="1014" width="9.5703125" style="89" customWidth="1"/>
    <col min="1015" max="1015" width="6.28515625" style="89" customWidth="1"/>
    <col min="1016" max="1016" width="8.85546875" style="89" customWidth="1"/>
    <col min="1017" max="1017" width="47.28515625" style="89" customWidth="1"/>
    <col min="1018" max="1018" width="9.140625" style="89"/>
    <col min="1019" max="1019" width="16.7109375" style="89" bestFit="1" customWidth="1"/>
    <col min="1020" max="1265" width="9.140625" style="89"/>
    <col min="1266" max="1266" width="17.5703125" style="89" customWidth="1"/>
    <col min="1267" max="1267" width="52.140625" style="89" customWidth="1"/>
    <col min="1268" max="1268" width="22" style="89" customWidth="1"/>
    <col min="1269" max="1269" width="9.7109375" style="89" customWidth="1"/>
    <col min="1270" max="1270" width="9.5703125" style="89" customWidth="1"/>
    <col min="1271" max="1271" width="6.28515625" style="89" customWidth="1"/>
    <col min="1272" max="1272" width="8.85546875" style="89" customWidth="1"/>
    <col min="1273" max="1273" width="47.28515625" style="89" customWidth="1"/>
    <col min="1274" max="1274" width="9.140625" style="89"/>
    <col min="1275" max="1275" width="16.7109375" style="89" bestFit="1" customWidth="1"/>
    <col min="1276" max="1521" width="9.140625" style="89"/>
    <col min="1522" max="1522" width="17.5703125" style="89" customWidth="1"/>
    <col min="1523" max="1523" width="52.140625" style="89" customWidth="1"/>
    <col min="1524" max="1524" width="22" style="89" customWidth="1"/>
    <col min="1525" max="1525" width="9.7109375" style="89" customWidth="1"/>
    <col min="1526" max="1526" width="9.5703125" style="89" customWidth="1"/>
    <col min="1527" max="1527" width="6.28515625" style="89" customWidth="1"/>
    <col min="1528" max="1528" width="8.85546875" style="89" customWidth="1"/>
    <col min="1529" max="1529" width="47.28515625" style="89" customWidth="1"/>
    <col min="1530" max="1530" width="9.140625" style="89"/>
    <col min="1531" max="1531" width="16.7109375" style="89" bestFit="1" customWidth="1"/>
    <col min="1532" max="1777" width="9.140625" style="89"/>
    <col min="1778" max="1778" width="17.5703125" style="89" customWidth="1"/>
    <col min="1779" max="1779" width="52.140625" style="89" customWidth="1"/>
    <col min="1780" max="1780" width="22" style="89" customWidth="1"/>
    <col min="1781" max="1781" width="9.7109375" style="89" customWidth="1"/>
    <col min="1782" max="1782" width="9.5703125" style="89" customWidth="1"/>
    <col min="1783" max="1783" width="6.28515625" style="89" customWidth="1"/>
    <col min="1784" max="1784" width="8.85546875" style="89" customWidth="1"/>
    <col min="1785" max="1785" width="47.28515625" style="89" customWidth="1"/>
    <col min="1786" max="1786" width="9.140625" style="89"/>
    <col min="1787" max="1787" width="16.7109375" style="89" bestFit="1" customWidth="1"/>
    <col min="1788" max="2033" width="9.140625" style="89"/>
    <col min="2034" max="2034" width="17.5703125" style="89" customWidth="1"/>
    <col min="2035" max="2035" width="52.140625" style="89" customWidth="1"/>
    <col min="2036" max="2036" width="22" style="89" customWidth="1"/>
    <col min="2037" max="2037" width="9.7109375" style="89" customWidth="1"/>
    <col min="2038" max="2038" width="9.5703125" style="89" customWidth="1"/>
    <col min="2039" max="2039" width="6.28515625" style="89" customWidth="1"/>
    <col min="2040" max="2040" width="8.85546875" style="89" customWidth="1"/>
    <col min="2041" max="2041" width="47.28515625" style="89" customWidth="1"/>
    <col min="2042" max="2042" width="9.140625" style="89"/>
    <col min="2043" max="2043" width="16.7109375" style="89" bestFit="1" customWidth="1"/>
    <col min="2044" max="2289" width="9.140625" style="89"/>
    <col min="2290" max="2290" width="17.5703125" style="89" customWidth="1"/>
    <col min="2291" max="2291" width="52.140625" style="89" customWidth="1"/>
    <col min="2292" max="2292" width="22" style="89" customWidth="1"/>
    <col min="2293" max="2293" width="9.7109375" style="89" customWidth="1"/>
    <col min="2294" max="2294" width="9.5703125" style="89" customWidth="1"/>
    <col min="2295" max="2295" width="6.28515625" style="89" customWidth="1"/>
    <col min="2296" max="2296" width="8.85546875" style="89" customWidth="1"/>
    <col min="2297" max="2297" width="47.28515625" style="89" customWidth="1"/>
    <col min="2298" max="2298" width="9.140625" style="89"/>
    <col min="2299" max="2299" width="16.7109375" style="89" bestFit="1" customWidth="1"/>
    <col min="2300" max="2545" width="9.140625" style="89"/>
    <col min="2546" max="2546" width="17.5703125" style="89" customWidth="1"/>
    <col min="2547" max="2547" width="52.140625" style="89" customWidth="1"/>
    <col min="2548" max="2548" width="22" style="89" customWidth="1"/>
    <col min="2549" max="2549" width="9.7109375" style="89" customWidth="1"/>
    <col min="2550" max="2550" width="9.5703125" style="89" customWidth="1"/>
    <col min="2551" max="2551" width="6.28515625" style="89" customWidth="1"/>
    <col min="2552" max="2552" width="8.85546875" style="89" customWidth="1"/>
    <col min="2553" max="2553" width="47.28515625" style="89" customWidth="1"/>
    <col min="2554" max="2554" width="9.140625" style="89"/>
    <col min="2555" max="2555" width="16.7109375" style="89" bestFit="1" customWidth="1"/>
    <col min="2556" max="2801" width="9.140625" style="89"/>
    <col min="2802" max="2802" width="17.5703125" style="89" customWidth="1"/>
    <col min="2803" max="2803" width="52.140625" style="89" customWidth="1"/>
    <col min="2804" max="2804" width="22" style="89" customWidth="1"/>
    <col min="2805" max="2805" width="9.7109375" style="89" customWidth="1"/>
    <col min="2806" max="2806" width="9.5703125" style="89" customWidth="1"/>
    <col min="2807" max="2807" width="6.28515625" style="89" customWidth="1"/>
    <col min="2808" max="2808" width="8.85546875" style="89" customWidth="1"/>
    <col min="2809" max="2809" width="47.28515625" style="89" customWidth="1"/>
    <col min="2810" max="2810" width="9.140625" style="89"/>
    <col min="2811" max="2811" width="16.7109375" style="89" bestFit="1" customWidth="1"/>
    <col min="2812" max="3057" width="9.140625" style="89"/>
    <col min="3058" max="3058" width="17.5703125" style="89" customWidth="1"/>
    <col min="3059" max="3059" width="52.140625" style="89" customWidth="1"/>
    <col min="3060" max="3060" width="22" style="89" customWidth="1"/>
    <col min="3061" max="3061" width="9.7109375" style="89" customWidth="1"/>
    <col min="3062" max="3062" width="9.5703125" style="89" customWidth="1"/>
    <col min="3063" max="3063" width="6.28515625" style="89" customWidth="1"/>
    <col min="3064" max="3064" width="8.85546875" style="89" customWidth="1"/>
    <col min="3065" max="3065" width="47.28515625" style="89" customWidth="1"/>
    <col min="3066" max="3066" width="9.140625" style="89"/>
    <col min="3067" max="3067" width="16.7109375" style="89" bestFit="1" customWidth="1"/>
    <col min="3068" max="3313" width="9.140625" style="89"/>
    <col min="3314" max="3314" width="17.5703125" style="89" customWidth="1"/>
    <col min="3315" max="3315" width="52.140625" style="89" customWidth="1"/>
    <col min="3316" max="3316" width="22" style="89" customWidth="1"/>
    <col min="3317" max="3317" width="9.7109375" style="89" customWidth="1"/>
    <col min="3318" max="3318" width="9.5703125" style="89" customWidth="1"/>
    <col min="3319" max="3319" width="6.28515625" style="89" customWidth="1"/>
    <col min="3320" max="3320" width="8.85546875" style="89" customWidth="1"/>
    <col min="3321" max="3321" width="47.28515625" style="89" customWidth="1"/>
    <col min="3322" max="3322" width="9.140625" style="89"/>
    <col min="3323" max="3323" width="16.7109375" style="89" bestFit="1" customWidth="1"/>
    <col min="3324" max="3569" width="9.140625" style="89"/>
    <col min="3570" max="3570" width="17.5703125" style="89" customWidth="1"/>
    <col min="3571" max="3571" width="52.140625" style="89" customWidth="1"/>
    <col min="3572" max="3572" width="22" style="89" customWidth="1"/>
    <col min="3573" max="3573" width="9.7109375" style="89" customWidth="1"/>
    <col min="3574" max="3574" width="9.5703125" style="89" customWidth="1"/>
    <col min="3575" max="3575" width="6.28515625" style="89" customWidth="1"/>
    <col min="3576" max="3576" width="8.85546875" style="89" customWidth="1"/>
    <col min="3577" max="3577" width="47.28515625" style="89" customWidth="1"/>
    <col min="3578" max="3578" width="9.140625" style="89"/>
    <col min="3579" max="3579" width="16.7109375" style="89" bestFit="1" customWidth="1"/>
    <col min="3580" max="3825" width="9.140625" style="89"/>
    <col min="3826" max="3826" width="17.5703125" style="89" customWidth="1"/>
    <col min="3827" max="3827" width="52.140625" style="89" customWidth="1"/>
    <col min="3828" max="3828" width="22" style="89" customWidth="1"/>
    <col min="3829" max="3829" width="9.7109375" style="89" customWidth="1"/>
    <col min="3830" max="3830" width="9.5703125" style="89" customWidth="1"/>
    <col min="3831" max="3831" width="6.28515625" style="89" customWidth="1"/>
    <col min="3832" max="3832" width="8.85546875" style="89" customWidth="1"/>
    <col min="3833" max="3833" width="47.28515625" style="89" customWidth="1"/>
    <col min="3834" max="3834" width="9.140625" style="89"/>
    <col min="3835" max="3835" width="16.7109375" style="89" bestFit="1" customWidth="1"/>
    <col min="3836" max="4081" width="9.140625" style="89"/>
    <col min="4082" max="4082" width="17.5703125" style="89" customWidth="1"/>
    <col min="4083" max="4083" width="52.140625" style="89" customWidth="1"/>
    <col min="4084" max="4084" width="22" style="89" customWidth="1"/>
    <col min="4085" max="4085" width="9.7109375" style="89" customWidth="1"/>
    <col min="4086" max="4086" width="9.5703125" style="89" customWidth="1"/>
    <col min="4087" max="4087" width="6.28515625" style="89" customWidth="1"/>
    <col min="4088" max="4088" width="8.85546875" style="89" customWidth="1"/>
    <col min="4089" max="4089" width="47.28515625" style="89" customWidth="1"/>
    <col min="4090" max="4090" width="9.140625" style="89"/>
    <col min="4091" max="4091" width="16.7109375" style="89" bestFit="1" customWidth="1"/>
    <col min="4092" max="4337" width="9.140625" style="89"/>
    <col min="4338" max="4338" width="17.5703125" style="89" customWidth="1"/>
    <col min="4339" max="4339" width="52.140625" style="89" customWidth="1"/>
    <col min="4340" max="4340" width="22" style="89" customWidth="1"/>
    <col min="4341" max="4341" width="9.7109375" style="89" customWidth="1"/>
    <col min="4342" max="4342" width="9.5703125" style="89" customWidth="1"/>
    <col min="4343" max="4343" width="6.28515625" style="89" customWidth="1"/>
    <col min="4344" max="4344" width="8.85546875" style="89" customWidth="1"/>
    <col min="4345" max="4345" width="47.28515625" style="89" customWidth="1"/>
    <col min="4346" max="4346" width="9.140625" style="89"/>
    <col min="4347" max="4347" width="16.7109375" style="89" bestFit="1" customWidth="1"/>
    <col min="4348" max="4593" width="9.140625" style="89"/>
    <col min="4594" max="4594" width="17.5703125" style="89" customWidth="1"/>
    <col min="4595" max="4595" width="52.140625" style="89" customWidth="1"/>
    <col min="4596" max="4596" width="22" style="89" customWidth="1"/>
    <col min="4597" max="4597" width="9.7109375" style="89" customWidth="1"/>
    <col min="4598" max="4598" width="9.5703125" style="89" customWidth="1"/>
    <col min="4599" max="4599" width="6.28515625" style="89" customWidth="1"/>
    <col min="4600" max="4600" width="8.85546875" style="89" customWidth="1"/>
    <col min="4601" max="4601" width="47.28515625" style="89" customWidth="1"/>
    <col min="4602" max="4602" width="9.140625" style="89"/>
    <col min="4603" max="4603" width="16.7109375" style="89" bestFit="1" customWidth="1"/>
    <col min="4604" max="4849" width="9.140625" style="89"/>
    <col min="4850" max="4850" width="17.5703125" style="89" customWidth="1"/>
    <col min="4851" max="4851" width="52.140625" style="89" customWidth="1"/>
    <col min="4852" max="4852" width="22" style="89" customWidth="1"/>
    <col min="4853" max="4853" width="9.7109375" style="89" customWidth="1"/>
    <col min="4854" max="4854" width="9.5703125" style="89" customWidth="1"/>
    <col min="4855" max="4855" width="6.28515625" style="89" customWidth="1"/>
    <col min="4856" max="4856" width="8.85546875" style="89" customWidth="1"/>
    <col min="4857" max="4857" width="47.28515625" style="89" customWidth="1"/>
    <col min="4858" max="4858" width="9.140625" style="89"/>
    <col min="4859" max="4859" width="16.7109375" style="89" bestFit="1" customWidth="1"/>
    <col min="4860" max="5105" width="9.140625" style="89"/>
    <col min="5106" max="5106" width="17.5703125" style="89" customWidth="1"/>
    <col min="5107" max="5107" width="52.140625" style="89" customWidth="1"/>
    <col min="5108" max="5108" width="22" style="89" customWidth="1"/>
    <col min="5109" max="5109" width="9.7109375" style="89" customWidth="1"/>
    <col min="5110" max="5110" width="9.5703125" style="89" customWidth="1"/>
    <col min="5111" max="5111" width="6.28515625" style="89" customWidth="1"/>
    <col min="5112" max="5112" width="8.85546875" style="89" customWidth="1"/>
    <col min="5113" max="5113" width="47.28515625" style="89" customWidth="1"/>
    <col min="5114" max="5114" width="9.140625" style="89"/>
    <col min="5115" max="5115" width="16.7109375" style="89" bestFit="1" customWidth="1"/>
    <col min="5116" max="5361" width="9.140625" style="89"/>
    <col min="5362" max="5362" width="17.5703125" style="89" customWidth="1"/>
    <col min="5363" max="5363" width="52.140625" style="89" customWidth="1"/>
    <col min="5364" max="5364" width="22" style="89" customWidth="1"/>
    <col min="5365" max="5365" width="9.7109375" style="89" customWidth="1"/>
    <col min="5366" max="5366" width="9.5703125" style="89" customWidth="1"/>
    <col min="5367" max="5367" width="6.28515625" style="89" customWidth="1"/>
    <col min="5368" max="5368" width="8.85546875" style="89" customWidth="1"/>
    <col min="5369" max="5369" width="47.28515625" style="89" customWidth="1"/>
    <col min="5370" max="5370" width="9.140625" style="89"/>
    <col min="5371" max="5371" width="16.7109375" style="89" bestFit="1" customWidth="1"/>
    <col min="5372" max="5617" width="9.140625" style="89"/>
    <col min="5618" max="5618" width="17.5703125" style="89" customWidth="1"/>
    <col min="5619" max="5619" width="52.140625" style="89" customWidth="1"/>
    <col min="5620" max="5620" width="22" style="89" customWidth="1"/>
    <col min="5621" max="5621" width="9.7109375" style="89" customWidth="1"/>
    <col min="5622" max="5622" width="9.5703125" style="89" customWidth="1"/>
    <col min="5623" max="5623" width="6.28515625" style="89" customWidth="1"/>
    <col min="5624" max="5624" width="8.85546875" style="89" customWidth="1"/>
    <col min="5625" max="5625" width="47.28515625" style="89" customWidth="1"/>
    <col min="5626" max="5626" width="9.140625" style="89"/>
    <col min="5627" max="5627" width="16.7109375" style="89" bestFit="1" customWidth="1"/>
    <col min="5628" max="5873" width="9.140625" style="89"/>
    <col min="5874" max="5874" width="17.5703125" style="89" customWidth="1"/>
    <col min="5875" max="5875" width="52.140625" style="89" customWidth="1"/>
    <col min="5876" max="5876" width="22" style="89" customWidth="1"/>
    <col min="5877" max="5877" width="9.7109375" style="89" customWidth="1"/>
    <col min="5878" max="5878" width="9.5703125" style="89" customWidth="1"/>
    <col min="5879" max="5879" width="6.28515625" style="89" customWidth="1"/>
    <col min="5880" max="5880" width="8.85546875" style="89" customWidth="1"/>
    <col min="5881" max="5881" width="47.28515625" style="89" customWidth="1"/>
    <col min="5882" max="5882" width="9.140625" style="89"/>
    <col min="5883" max="5883" width="16.7109375" style="89" bestFit="1" customWidth="1"/>
    <col min="5884" max="6129" width="9.140625" style="89"/>
    <col min="6130" max="6130" width="17.5703125" style="89" customWidth="1"/>
    <col min="6131" max="6131" width="52.140625" style="89" customWidth="1"/>
    <col min="6132" max="6132" width="22" style="89" customWidth="1"/>
    <col min="6133" max="6133" width="9.7109375" style="89" customWidth="1"/>
    <col min="6134" max="6134" width="9.5703125" style="89" customWidth="1"/>
    <col min="6135" max="6135" width="6.28515625" style="89" customWidth="1"/>
    <col min="6136" max="6136" width="8.85546875" style="89" customWidth="1"/>
    <col min="6137" max="6137" width="47.28515625" style="89" customWidth="1"/>
    <col min="6138" max="6138" width="9.140625" style="89"/>
    <col min="6139" max="6139" width="16.7109375" style="89" bestFit="1" customWidth="1"/>
    <col min="6140" max="6385" width="9.140625" style="89"/>
    <col min="6386" max="6386" width="17.5703125" style="89" customWidth="1"/>
    <col min="6387" max="6387" width="52.140625" style="89" customWidth="1"/>
    <col min="6388" max="6388" width="22" style="89" customWidth="1"/>
    <col min="6389" max="6389" width="9.7109375" style="89" customWidth="1"/>
    <col min="6390" max="6390" width="9.5703125" style="89" customWidth="1"/>
    <col min="6391" max="6391" width="6.28515625" style="89" customWidth="1"/>
    <col min="6392" max="6392" width="8.85546875" style="89" customWidth="1"/>
    <col min="6393" max="6393" width="47.28515625" style="89" customWidth="1"/>
    <col min="6394" max="6394" width="9.140625" style="89"/>
    <col min="6395" max="6395" width="16.7109375" style="89" bestFit="1" customWidth="1"/>
    <col min="6396" max="6641" width="9.140625" style="89"/>
    <col min="6642" max="6642" width="17.5703125" style="89" customWidth="1"/>
    <col min="6643" max="6643" width="52.140625" style="89" customWidth="1"/>
    <col min="6644" max="6644" width="22" style="89" customWidth="1"/>
    <col min="6645" max="6645" width="9.7109375" style="89" customWidth="1"/>
    <col min="6646" max="6646" width="9.5703125" style="89" customWidth="1"/>
    <col min="6647" max="6647" width="6.28515625" style="89" customWidth="1"/>
    <col min="6648" max="6648" width="8.85546875" style="89" customWidth="1"/>
    <col min="6649" max="6649" width="47.28515625" style="89" customWidth="1"/>
    <col min="6650" max="6650" width="9.140625" style="89"/>
    <col min="6651" max="6651" width="16.7109375" style="89" bestFit="1" customWidth="1"/>
    <col min="6652" max="6897" width="9.140625" style="89"/>
    <col min="6898" max="6898" width="17.5703125" style="89" customWidth="1"/>
    <col min="6899" max="6899" width="52.140625" style="89" customWidth="1"/>
    <col min="6900" max="6900" width="22" style="89" customWidth="1"/>
    <col min="6901" max="6901" width="9.7109375" style="89" customWidth="1"/>
    <col min="6902" max="6902" width="9.5703125" style="89" customWidth="1"/>
    <col min="6903" max="6903" width="6.28515625" style="89" customWidth="1"/>
    <col min="6904" max="6904" width="8.85546875" style="89" customWidth="1"/>
    <col min="6905" max="6905" width="47.28515625" style="89" customWidth="1"/>
    <col min="6906" max="6906" width="9.140625" style="89"/>
    <col min="6907" max="6907" width="16.7109375" style="89" bestFit="1" customWidth="1"/>
    <col min="6908" max="7153" width="9.140625" style="89"/>
    <col min="7154" max="7154" width="17.5703125" style="89" customWidth="1"/>
    <col min="7155" max="7155" width="52.140625" style="89" customWidth="1"/>
    <col min="7156" max="7156" width="22" style="89" customWidth="1"/>
    <col min="7157" max="7157" width="9.7109375" style="89" customWidth="1"/>
    <col min="7158" max="7158" width="9.5703125" style="89" customWidth="1"/>
    <col min="7159" max="7159" width="6.28515625" style="89" customWidth="1"/>
    <col min="7160" max="7160" width="8.85546875" style="89" customWidth="1"/>
    <col min="7161" max="7161" width="47.28515625" style="89" customWidth="1"/>
    <col min="7162" max="7162" width="9.140625" style="89"/>
    <col min="7163" max="7163" width="16.7109375" style="89" bestFit="1" customWidth="1"/>
    <col min="7164" max="7409" width="9.140625" style="89"/>
    <col min="7410" max="7410" width="17.5703125" style="89" customWidth="1"/>
    <col min="7411" max="7411" width="52.140625" style="89" customWidth="1"/>
    <col min="7412" max="7412" width="22" style="89" customWidth="1"/>
    <col min="7413" max="7413" width="9.7109375" style="89" customWidth="1"/>
    <col min="7414" max="7414" width="9.5703125" style="89" customWidth="1"/>
    <col min="7415" max="7415" width="6.28515625" style="89" customWidth="1"/>
    <col min="7416" max="7416" width="8.85546875" style="89" customWidth="1"/>
    <col min="7417" max="7417" width="47.28515625" style="89" customWidth="1"/>
    <col min="7418" max="7418" width="9.140625" style="89"/>
    <col min="7419" max="7419" width="16.7109375" style="89" bestFit="1" customWidth="1"/>
    <col min="7420" max="7665" width="9.140625" style="89"/>
    <col min="7666" max="7666" width="17.5703125" style="89" customWidth="1"/>
    <col min="7667" max="7667" width="52.140625" style="89" customWidth="1"/>
    <col min="7668" max="7668" width="22" style="89" customWidth="1"/>
    <col min="7669" max="7669" width="9.7109375" style="89" customWidth="1"/>
    <col min="7670" max="7670" width="9.5703125" style="89" customWidth="1"/>
    <col min="7671" max="7671" width="6.28515625" style="89" customWidth="1"/>
    <col min="7672" max="7672" width="8.85546875" style="89" customWidth="1"/>
    <col min="7673" max="7673" width="47.28515625" style="89" customWidth="1"/>
    <col min="7674" max="7674" width="9.140625" style="89"/>
    <col min="7675" max="7675" width="16.7109375" style="89" bestFit="1" customWidth="1"/>
    <col min="7676" max="7921" width="9.140625" style="89"/>
    <col min="7922" max="7922" width="17.5703125" style="89" customWidth="1"/>
    <col min="7923" max="7923" width="52.140625" style="89" customWidth="1"/>
    <col min="7924" max="7924" width="22" style="89" customWidth="1"/>
    <col min="7925" max="7925" width="9.7109375" style="89" customWidth="1"/>
    <col min="7926" max="7926" width="9.5703125" style="89" customWidth="1"/>
    <col min="7927" max="7927" width="6.28515625" style="89" customWidth="1"/>
    <col min="7928" max="7928" width="8.85546875" style="89" customWidth="1"/>
    <col min="7929" max="7929" width="47.28515625" style="89" customWidth="1"/>
    <col min="7930" max="7930" width="9.140625" style="89"/>
    <col min="7931" max="7931" width="16.7109375" style="89" bestFit="1" customWidth="1"/>
    <col min="7932" max="8177" width="9.140625" style="89"/>
    <col min="8178" max="8178" width="17.5703125" style="89" customWidth="1"/>
    <col min="8179" max="8179" width="52.140625" style="89" customWidth="1"/>
    <col min="8180" max="8180" width="22" style="89" customWidth="1"/>
    <col min="8181" max="8181" width="9.7109375" style="89" customWidth="1"/>
    <col min="8182" max="8182" width="9.5703125" style="89" customWidth="1"/>
    <col min="8183" max="8183" width="6.28515625" style="89" customWidth="1"/>
    <col min="8184" max="8184" width="8.85546875" style="89" customWidth="1"/>
    <col min="8185" max="8185" width="47.28515625" style="89" customWidth="1"/>
    <col min="8186" max="8186" width="9.140625" style="89"/>
    <col min="8187" max="8187" width="16.7109375" style="89" bestFit="1" customWidth="1"/>
    <col min="8188" max="8433" width="9.140625" style="89"/>
    <col min="8434" max="8434" width="17.5703125" style="89" customWidth="1"/>
    <col min="8435" max="8435" width="52.140625" style="89" customWidth="1"/>
    <col min="8436" max="8436" width="22" style="89" customWidth="1"/>
    <col min="8437" max="8437" width="9.7109375" style="89" customWidth="1"/>
    <col min="8438" max="8438" width="9.5703125" style="89" customWidth="1"/>
    <col min="8439" max="8439" width="6.28515625" style="89" customWidth="1"/>
    <col min="8440" max="8440" width="8.85546875" style="89" customWidth="1"/>
    <col min="8441" max="8441" width="47.28515625" style="89" customWidth="1"/>
    <col min="8442" max="8442" width="9.140625" style="89"/>
    <col min="8443" max="8443" width="16.7109375" style="89" bestFit="1" customWidth="1"/>
    <col min="8444" max="8689" width="9.140625" style="89"/>
    <col min="8690" max="8690" width="17.5703125" style="89" customWidth="1"/>
    <col min="8691" max="8691" width="52.140625" style="89" customWidth="1"/>
    <col min="8692" max="8692" width="22" style="89" customWidth="1"/>
    <col min="8693" max="8693" width="9.7109375" style="89" customWidth="1"/>
    <col min="8694" max="8694" width="9.5703125" style="89" customWidth="1"/>
    <col min="8695" max="8695" width="6.28515625" style="89" customWidth="1"/>
    <col min="8696" max="8696" width="8.85546875" style="89" customWidth="1"/>
    <col min="8697" max="8697" width="47.28515625" style="89" customWidth="1"/>
    <col min="8698" max="8698" width="9.140625" style="89"/>
    <col min="8699" max="8699" width="16.7109375" style="89" bestFit="1" customWidth="1"/>
    <col min="8700" max="8945" width="9.140625" style="89"/>
    <col min="8946" max="8946" width="17.5703125" style="89" customWidth="1"/>
    <col min="8947" max="8947" width="52.140625" style="89" customWidth="1"/>
    <col min="8948" max="8948" width="22" style="89" customWidth="1"/>
    <col min="8949" max="8949" width="9.7109375" style="89" customWidth="1"/>
    <col min="8950" max="8950" width="9.5703125" style="89" customWidth="1"/>
    <col min="8951" max="8951" width="6.28515625" style="89" customWidth="1"/>
    <col min="8952" max="8952" width="8.85546875" style="89" customWidth="1"/>
    <col min="8953" max="8953" width="47.28515625" style="89" customWidth="1"/>
    <col min="8954" max="8954" width="9.140625" style="89"/>
    <col min="8955" max="8955" width="16.7109375" style="89" bestFit="1" customWidth="1"/>
    <col min="8956" max="9201" width="9.140625" style="89"/>
    <col min="9202" max="9202" width="17.5703125" style="89" customWidth="1"/>
    <col min="9203" max="9203" width="52.140625" style="89" customWidth="1"/>
    <col min="9204" max="9204" width="22" style="89" customWidth="1"/>
    <col min="9205" max="9205" width="9.7109375" style="89" customWidth="1"/>
    <col min="9206" max="9206" width="9.5703125" style="89" customWidth="1"/>
    <col min="9207" max="9207" width="6.28515625" style="89" customWidth="1"/>
    <col min="9208" max="9208" width="8.85546875" style="89" customWidth="1"/>
    <col min="9209" max="9209" width="47.28515625" style="89" customWidth="1"/>
    <col min="9210" max="9210" width="9.140625" style="89"/>
    <col min="9211" max="9211" width="16.7109375" style="89" bestFit="1" customWidth="1"/>
    <col min="9212" max="9457" width="9.140625" style="89"/>
    <col min="9458" max="9458" width="17.5703125" style="89" customWidth="1"/>
    <col min="9459" max="9459" width="52.140625" style="89" customWidth="1"/>
    <col min="9460" max="9460" width="22" style="89" customWidth="1"/>
    <col min="9461" max="9461" width="9.7109375" style="89" customWidth="1"/>
    <col min="9462" max="9462" width="9.5703125" style="89" customWidth="1"/>
    <col min="9463" max="9463" width="6.28515625" style="89" customWidth="1"/>
    <col min="9464" max="9464" width="8.85546875" style="89" customWidth="1"/>
    <col min="9465" max="9465" width="47.28515625" style="89" customWidth="1"/>
    <col min="9466" max="9466" width="9.140625" style="89"/>
    <col min="9467" max="9467" width="16.7109375" style="89" bestFit="1" customWidth="1"/>
    <col min="9468" max="9713" width="9.140625" style="89"/>
    <col min="9714" max="9714" width="17.5703125" style="89" customWidth="1"/>
    <col min="9715" max="9715" width="52.140625" style="89" customWidth="1"/>
    <col min="9716" max="9716" width="22" style="89" customWidth="1"/>
    <col min="9717" max="9717" width="9.7109375" style="89" customWidth="1"/>
    <col min="9718" max="9718" width="9.5703125" style="89" customWidth="1"/>
    <col min="9719" max="9719" width="6.28515625" style="89" customWidth="1"/>
    <col min="9720" max="9720" width="8.85546875" style="89" customWidth="1"/>
    <col min="9721" max="9721" width="47.28515625" style="89" customWidth="1"/>
    <col min="9722" max="9722" width="9.140625" style="89"/>
    <col min="9723" max="9723" width="16.7109375" style="89" bestFit="1" customWidth="1"/>
    <col min="9724" max="9969" width="9.140625" style="89"/>
    <col min="9970" max="9970" width="17.5703125" style="89" customWidth="1"/>
    <col min="9971" max="9971" width="52.140625" style="89" customWidth="1"/>
    <col min="9972" max="9972" width="22" style="89" customWidth="1"/>
    <col min="9973" max="9973" width="9.7109375" style="89" customWidth="1"/>
    <col min="9974" max="9974" width="9.5703125" style="89" customWidth="1"/>
    <col min="9975" max="9975" width="6.28515625" style="89" customWidth="1"/>
    <col min="9976" max="9976" width="8.85546875" style="89" customWidth="1"/>
    <col min="9977" max="9977" width="47.28515625" style="89" customWidth="1"/>
    <col min="9978" max="9978" width="9.140625" style="89"/>
    <col min="9979" max="9979" width="16.7109375" style="89" bestFit="1" customWidth="1"/>
    <col min="9980" max="10225" width="9.140625" style="89"/>
    <col min="10226" max="10226" width="17.5703125" style="89" customWidth="1"/>
    <col min="10227" max="10227" width="52.140625" style="89" customWidth="1"/>
    <col min="10228" max="10228" width="22" style="89" customWidth="1"/>
    <col min="10229" max="10229" width="9.7109375" style="89" customWidth="1"/>
    <col min="10230" max="10230" width="9.5703125" style="89" customWidth="1"/>
    <col min="10231" max="10231" width="6.28515625" style="89" customWidth="1"/>
    <col min="10232" max="10232" width="8.85546875" style="89" customWidth="1"/>
    <col min="10233" max="10233" width="47.28515625" style="89" customWidth="1"/>
    <col min="10234" max="10234" width="9.140625" style="89"/>
    <col min="10235" max="10235" width="16.7109375" style="89" bestFit="1" customWidth="1"/>
    <col min="10236" max="10481" width="9.140625" style="89"/>
    <col min="10482" max="10482" width="17.5703125" style="89" customWidth="1"/>
    <col min="10483" max="10483" width="52.140625" style="89" customWidth="1"/>
    <col min="10484" max="10484" width="22" style="89" customWidth="1"/>
    <col min="10485" max="10485" width="9.7109375" style="89" customWidth="1"/>
    <col min="10486" max="10486" width="9.5703125" style="89" customWidth="1"/>
    <col min="10487" max="10487" width="6.28515625" style="89" customWidth="1"/>
    <col min="10488" max="10488" width="8.85546875" style="89" customWidth="1"/>
    <col min="10489" max="10489" width="47.28515625" style="89" customWidth="1"/>
    <col min="10490" max="10490" width="9.140625" style="89"/>
    <col min="10491" max="10491" width="16.7109375" style="89" bestFit="1" customWidth="1"/>
    <col min="10492" max="10737" width="9.140625" style="89"/>
    <col min="10738" max="10738" width="17.5703125" style="89" customWidth="1"/>
    <col min="10739" max="10739" width="52.140625" style="89" customWidth="1"/>
    <col min="10740" max="10740" width="22" style="89" customWidth="1"/>
    <col min="10741" max="10741" width="9.7109375" style="89" customWidth="1"/>
    <col min="10742" max="10742" width="9.5703125" style="89" customWidth="1"/>
    <col min="10743" max="10743" width="6.28515625" style="89" customWidth="1"/>
    <col min="10744" max="10744" width="8.85546875" style="89" customWidth="1"/>
    <col min="10745" max="10745" width="47.28515625" style="89" customWidth="1"/>
    <col min="10746" max="10746" width="9.140625" style="89"/>
    <col min="10747" max="10747" width="16.7109375" style="89" bestFit="1" customWidth="1"/>
    <col min="10748" max="10993" width="9.140625" style="89"/>
    <col min="10994" max="10994" width="17.5703125" style="89" customWidth="1"/>
    <col min="10995" max="10995" width="52.140625" style="89" customWidth="1"/>
    <col min="10996" max="10996" width="22" style="89" customWidth="1"/>
    <col min="10997" max="10997" width="9.7109375" style="89" customWidth="1"/>
    <col min="10998" max="10998" width="9.5703125" style="89" customWidth="1"/>
    <col min="10999" max="10999" width="6.28515625" style="89" customWidth="1"/>
    <col min="11000" max="11000" width="8.85546875" style="89" customWidth="1"/>
    <col min="11001" max="11001" width="47.28515625" style="89" customWidth="1"/>
    <col min="11002" max="11002" width="9.140625" style="89"/>
    <col min="11003" max="11003" width="16.7109375" style="89" bestFit="1" customWidth="1"/>
    <col min="11004" max="11249" width="9.140625" style="89"/>
    <col min="11250" max="11250" width="17.5703125" style="89" customWidth="1"/>
    <col min="11251" max="11251" width="52.140625" style="89" customWidth="1"/>
    <col min="11252" max="11252" width="22" style="89" customWidth="1"/>
    <col min="11253" max="11253" width="9.7109375" style="89" customWidth="1"/>
    <col min="11254" max="11254" width="9.5703125" style="89" customWidth="1"/>
    <col min="11255" max="11255" width="6.28515625" style="89" customWidth="1"/>
    <col min="11256" max="11256" width="8.85546875" style="89" customWidth="1"/>
    <col min="11257" max="11257" width="47.28515625" style="89" customWidth="1"/>
    <col min="11258" max="11258" width="9.140625" style="89"/>
    <col min="11259" max="11259" width="16.7109375" style="89" bestFit="1" customWidth="1"/>
    <col min="11260" max="11505" width="9.140625" style="89"/>
    <col min="11506" max="11506" width="17.5703125" style="89" customWidth="1"/>
    <col min="11507" max="11507" width="52.140625" style="89" customWidth="1"/>
    <col min="11508" max="11508" width="22" style="89" customWidth="1"/>
    <col min="11509" max="11509" width="9.7109375" style="89" customWidth="1"/>
    <col min="11510" max="11510" width="9.5703125" style="89" customWidth="1"/>
    <col min="11511" max="11511" width="6.28515625" style="89" customWidth="1"/>
    <col min="11512" max="11512" width="8.85546875" style="89" customWidth="1"/>
    <col min="11513" max="11513" width="47.28515625" style="89" customWidth="1"/>
    <col min="11514" max="11514" width="9.140625" style="89"/>
    <col min="11515" max="11515" width="16.7109375" style="89" bestFit="1" customWidth="1"/>
    <col min="11516" max="11761" width="9.140625" style="89"/>
    <col min="11762" max="11762" width="17.5703125" style="89" customWidth="1"/>
    <col min="11763" max="11763" width="52.140625" style="89" customWidth="1"/>
    <col min="11764" max="11764" width="22" style="89" customWidth="1"/>
    <col min="11765" max="11765" width="9.7109375" style="89" customWidth="1"/>
    <col min="11766" max="11766" width="9.5703125" style="89" customWidth="1"/>
    <col min="11767" max="11767" width="6.28515625" style="89" customWidth="1"/>
    <col min="11768" max="11768" width="8.85546875" style="89" customWidth="1"/>
    <col min="11769" max="11769" width="47.28515625" style="89" customWidth="1"/>
    <col min="11770" max="11770" width="9.140625" style="89"/>
    <col min="11771" max="11771" width="16.7109375" style="89" bestFit="1" customWidth="1"/>
    <col min="11772" max="12017" width="9.140625" style="89"/>
    <col min="12018" max="12018" width="17.5703125" style="89" customWidth="1"/>
    <col min="12019" max="12019" width="52.140625" style="89" customWidth="1"/>
    <col min="12020" max="12020" width="22" style="89" customWidth="1"/>
    <col min="12021" max="12021" width="9.7109375" style="89" customWidth="1"/>
    <col min="12022" max="12022" width="9.5703125" style="89" customWidth="1"/>
    <col min="12023" max="12023" width="6.28515625" style="89" customWidth="1"/>
    <col min="12024" max="12024" width="8.85546875" style="89" customWidth="1"/>
    <col min="12025" max="12025" width="47.28515625" style="89" customWidth="1"/>
    <col min="12026" max="12026" width="9.140625" style="89"/>
    <col min="12027" max="12027" width="16.7109375" style="89" bestFit="1" customWidth="1"/>
    <col min="12028" max="12273" width="9.140625" style="89"/>
    <col min="12274" max="12274" width="17.5703125" style="89" customWidth="1"/>
    <col min="12275" max="12275" width="52.140625" style="89" customWidth="1"/>
    <col min="12276" max="12276" width="22" style="89" customWidth="1"/>
    <col min="12277" max="12277" width="9.7109375" style="89" customWidth="1"/>
    <col min="12278" max="12278" width="9.5703125" style="89" customWidth="1"/>
    <col min="12279" max="12279" width="6.28515625" style="89" customWidth="1"/>
    <col min="12280" max="12280" width="8.85546875" style="89" customWidth="1"/>
    <col min="12281" max="12281" width="47.28515625" style="89" customWidth="1"/>
    <col min="12282" max="12282" width="9.140625" style="89"/>
    <col min="12283" max="12283" width="16.7109375" style="89" bestFit="1" customWidth="1"/>
    <col min="12284" max="12529" width="9.140625" style="89"/>
    <col min="12530" max="12530" width="17.5703125" style="89" customWidth="1"/>
    <col min="12531" max="12531" width="52.140625" style="89" customWidth="1"/>
    <col min="12532" max="12532" width="22" style="89" customWidth="1"/>
    <col min="12533" max="12533" width="9.7109375" style="89" customWidth="1"/>
    <col min="12534" max="12534" width="9.5703125" style="89" customWidth="1"/>
    <col min="12535" max="12535" width="6.28515625" style="89" customWidth="1"/>
    <col min="12536" max="12536" width="8.85546875" style="89" customWidth="1"/>
    <col min="12537" max="12537" width="47.28515625" style="89" customWidth="1"/>
    <col min="12538" max="12538" width="9.140625" style="89"/>
    <col min="12539" max="12539" width="16.7109375" style="89" bestFit="1" customWidth="1"/>
    <col min="12540" max="12785" width="9.140625" style="89"/>
    <col min="12786" max="12786" width="17.5703125" style="89" customWidth="1"/>
    <col min="12787" max="12787" width="52.140625" style="89" customWidth="1"/>
    <col min="12788" max="12788" width="22" style="89" customWidth="1"/>
    <col min="12789" max="12789" width="9.7109375" style="89" customWidth="1"/>
    <col min="12790" max="12790" width="9.5703125" style="89" customWidth="1"/>
    <col min="12791" max="12791" width="6.28515625" style="89" customWidth="1"/>
    <col min="12792" max="12792" width="8.85546875" style="89" customWidth="1"/>
    <col min="12793" max="12793" width="47.28515625" style="89" customWidth="1"/>
    <col min="12794" max="12794" width="9.140625" style="89"/>
    <col min="12795" max="12795" width="16.7109375" style="89" bestFit="1" customWidth="1"/>
    <col min="12796" max="13041" width="9.140625" style="89"/>
    <col min="13042" max="13042" width="17.5703125" style="89" customWidth="1"/>
    <col min="13043" max="13043" width="52.140625" style="89" customWidth="1"/>
    <col min="13044" max="13044" width="22" style="89" customWidth="1"/>
    <col min="13045" max="13045" width="9.7109375" style="89" customWidth="1"/>
    <col min="13046" max="13046" width="9.5703125" style="89" customWidth="1"/>
    <col min="13047" max="13047" width="6.28515625" style="89" customWidth="1"/>
    <col min="13048" max="13048" width="8.85546875" style="89" customWidth="1"/>
    <col min="13049" max="13049" width="47.28515625" style="89" customWidth="1"/>
    <col min="13050" max="13050" width="9.140625" style="89"/>
    <col min="13051" max="13051" width="16.7109375" style="89" bestFit="1" customWidth="1"/>
    <col min="13052" max="13297" width="9.140625" style="89"/>
    <col min="13298" max="13298" width="17.5703125" style="89" customWidth="1"/>
    <col min="13299" max="13299" width="52.140625" style="89" customWidth="1"/>
    <col min="13300" max="13300" width="22" style="89" customWidth="1"/>
    <col min="13301" max="13301" width="9.7109375" style="89" customWidth="1"/>
    <col min="13302" max="13302" width="9.5703125" style="89" customWidth="1"/>
    <col min="13303" max="13303" width="6.28515625" style="89" customWidth="1"/>
    <col min="13304" max="13304" width="8.85546875" style="89" customWidth="1"/>
    <col min="13305" max="13305" width="47.28515625" style="89" customWidth="1"/>
    <col min="13306" max="13306" width="9.140625" style="89"/>
    <col min="13307" max="13307" width="16.7109375" style="89" bestFit="1" customWidth="1"/>
    <col min="13308" max="13553" width="9.140625" style="89"/>
    <col min="13554" max="13554" width="17.5703125" style="89" customWidth="1"/>
    <col min="13555" max="13555" width="52.140625" style="89" customWidth="1"/>
    <col min="13556" max="13556" width="22" style="89" customWidth="1"/>
    <col min="13557" max="13557" width="9.7109375" style="89" customWidth="1"/>
    <col min="13558" max="13558" width="9.5703125" style="89" customWidth="1"/>
    <col min="13559" max="13559" width="6.28515625" style="89" customWidth="1"/>
    <col min="13560" max="13560" width="8.85546875" style="89" customWidth="1"/>
    <col min="13561" max="13561" width="47.28515625" style="89" customWidth="1"/>
    <col min="13562" max="13562" width="9.140625" style="89"/>
    <col min="13563" max="13563" width="16.7109375" style="89" bestFit="1" customWidth="1"/>
    <col min="13564" max="13809" width="9.140625" style="89"/>
    <col min="13810" max="13810" width="17.5703125" style="89" customWidth="1"/>
    <col min="13811" max="13811" width="52.140625" style="89" customWidth="1"/>
    <col min="13812" max="13812" width="22" style="89" customWidth="1"/>
    <col min="13813" max="13813" width="9.7109375" style="89" customWidth="1"/>
    <col min="13814" max="13814" width="9.5703125" style="89" customWidth="1"/>
    <col min="13815" max="13815" width="6.28515625" style="89" customWidth="1"/>
    <col min="13816" max="13816" width="8.85546875" style="89" customWidth="1"/>
    <col min="13817" max="13817" width="47.28515625" style="89" customWidth="1"/>
    <col min="13818" max="13818" width="9.140625" style="89"/>
    <col min="13819" max="13819" width="16.7109375" style="89" bestFit="1" customWidth="1"/>
    <col min="13820" max="14065" width="9.140625" style="89"/>
    <col min="14066" max="14066" width="17.5703125" style="89" customWidth="1"/>
    <col min="14067" max="14067" width="52.140625" style="89" customWidth="1"/>
    <col min="14068" max="14068" width="22" style="89" customWidth="1"/>
    <col min="14069" max="14069" width="9.7109375" style="89" customWidth="1"/>
    <col min="14070" max="14070" width="9.5703125" style="89" customWidth="1"/>
    <col min="14071" max="14071" width="6.28515625" style="89" customWidth="1"/>
    <col min="14072" max="14072" width="8.85546875" style="89" customWidth="1"/>
    <col min="14073" max="14073" width="47.28515625" style="89" customWidth="1"/>
    <col min="14074" max="14074" width="9.140625" style="89"/>
    <col min="14075" max="14075" width="16.7109375" style="89" bestFit="1" customWidth="1"/>
    <col min="14076" max="14321" width="9.140625" style="89"/>
    <col min="14322" max="14322" width="17.5703125" style="89" customWidth="1"/>
    <col min="14323" max="14323" width="52.140625" style="89" customWidth="1"/>
    <col min="14324" max="14324" width="22" style="89" customWidth="1"/>
    <col min="14325" max="14325" width="9.7109375" style="89" customWidth="1"/>
    <col min="14326" max="14326" width="9.5703125" style="89" customWidth="1"/>
    <col min="14327" max="14327" width="6.28515625" style="89" customWidth="1"/>
    <col min="14328" max="14328" width="8.85546875" style="89" customWidth="1"/>
    <col min="14329" max="14329" width="47.28515625" style="89" customWidth="1"/>
    <col min="14330" max="14330" width="9.140625" style="89"/>
    <col min="14331" max="14331" width="16.7109375" style="89" bestFit="1" customWidth="1"/>
    <col min="14332" max="14577" width="9.140625" style="89"/>
    <col min="14578" max="14578" width="17.5703125" style="89" customWidth="1"/>
    <col min="14579" max="14579" width="52.140625" style="89" customWidth="1"/>
    <col min="14580" max="14580" width="22" style="89" customWidth="1"/>
    <col min="14581" max="14581" width="9.7109375" style="89" customWidth="1"/>
    <col min="14582" max="14582" width="9.5703125" style="89" customWidth="1"/>
    <col min="14583" max="14583" width="6.28515625" style="89" customWidth="1"/>
    <col min="14584" max="14584" width="8.85546875" style="89" customWidth="1"/>
    <col min="14585" max="14585" width="47.28515625" style="89" customWidth="1"/>
    <col min="14586" max="14586" width="9.140625" style="89"/>
    <col min="14587" max="14587" width="16.7109375" style="89" bestFit="1" customWidth="1"/>
    <col min="14588" max="14833" width="9.140625" style="89"/>
    <col min="14834" max="14834" width="17.5703125" style="89" customWidth="1"/>
    <col min="14835" max="14835" width="52.140625" style="89" customWidth="1"/>
    <col min="14836" max="14836" width="22" style="89" customWidth="1"/>
    <col min="14837" max="14837" width="9.7109375" style="89" customWidth="1"/>
    <col min="14838" max="14838" width="9.5703125" style="89" customWidth="1"/>
    <col min="14839" max="14839" width="6.28515625" style="89" customWidth="1"/>
    <col min="14840" max="14840" width="8.85546875" style="89" customWidth="1"/>
    <col min="14841" max="14841" width="47.28515625" style="89" customWidth="1"/>
    <col min="14842" max="14842" width="9.140625" style="89"/>
    <col min="14843" max="14843" width="16.7109375" style="89" bestFit="1" customWidth="1"/>
    <col min="14844" max="15089" width="9.140625" style="89"/>
    <col min="15090" max="15090" width="17.5703125" style="89" customWidth="1"/>
    <col min="15091" max="15091" width="52.140625" style="89" customWidth="1"/>
    <col min="15092" max="15092" width="22" style="89" customWidth="1"/>
    <col min="15093" max="15093" width="9.7109375" style="89" customWidth="1"/>
    <col min="15094" max="15094" width="9.5703125" style="89" customWidth="1"/>
    <col min="15095" max="15095" width="6.28515625" style="89" customWidth="1"/>
    <col min="15096" max="15096" width="8.85546875" style="89" customWidth="1"/>
    <col min="15097" max="15097" width="47.28515625" style="89" customWidth="1"/>
    <col min="15098" max="15098" width="9.140625" style="89"/>
    <col min="15099" max="15099" width="16.7109375" style="89" bestFit="1" customWidth="1"/>
    <col min="15100" max="15345" width="9.140625" style="89"/>
    <col min="15346" max="15346" width="17.5703125" style="89" customWidth="1"/>
    <col min="15347" max="15347" width="52.140625" style="89" customWidth="1"/>
    <col min="15348" max="15348" width="22" style="89" customWidth="1"/>
    <col min="15349" max="15349" width="9.7109375" style="89" customWidth="1"/>
    <col min="15350" max="15350" width="9.5703125" style="89" customWidth="1"/>
    <col min="15351" max="15351" width="6.28515625" style="89" customWidth="1"/>
    <col min="15352" max="15352" width="8.85546875" style="89" customWidth="1"/>
    <col min="15353" max="15353" width="47.28515625" style="89" customWidth="1"/>
    <col min="15354" max="15354" width="9.140625" style="89"/>
    <col min="15355" max="15355" width="16.7109375" style="89" bestFit="1" customWidth="1"/>
    <col min="15356" max="15601" width="9.140625" style="89"/>
    <col min="15602" max="15602" width="17.5703125" style="89" customWidth="1"/>
    <col min="15603" max="15603" width="52.140625" style="89" customWidth="1"/>
    <col min="15604" max="15604" width="22" style="89" customWidth="1"/>
    <col min="15605" max="15605" width="9.7109375" style="89" customWidth="1"/>
    <col min="15606" max="15606" width="9.5703125" style="89" customWidth="1"/>
    <col min="15607" max="15607" width="6.28515625" style="89" customWidth="1"/>
    <col min="15608" max="15608" width="8.85546875" style="89" customWidth="1"/>
    <col min="15609" max="15609" width="47.28515625" style="89" customWidth="1"/>
    <col min="15610" max="15610" width="9.140625" style="89"/>
    <col min="15611" max="15611" width="16.7109375" style="89" bestFit="1" customWidth="1"/>
    <col min="15612" max="15857" width="9.140625" style="89"/>
    <col min="15858" max="15858" width="17.5703125" style="89" customWidth="1"/>
    <col min="15859" max="15859" width="52.140625" style="89" customWidth="1"/>
    <col min="15860" max="15860" width="22" style="89" customWidth="1"/>
    <col min="15861" max="15861" width="9.7109375" style="89" customWidth="1"/>
    <col min="15862" max="15862" width="9.5703125" style="89" customWidth="1"/>
    <col min="15863" max="15863" width="6.28515625" style="89" customWidth="1"/>
    <col min="15864" max="15864" width="8.85546875" style="89" customWidth="1"/>
    <col min="15865" max="15865" width="47.28515625" style="89" customWidth="1"/>
    <col min="15866" max="15866" width="9.140625" style="89"/>
    <col min="15867" max="15867" width="16.7109375" style="89" bestFit="1" customWidth="1"/>
    <col min="15868" max="16113" width="9.140625" style="89"/>
    <col min="16114" max="16114" width="17.5703125" style="89" customWidth="1"/>
    <col min="16115" max="16115" width="52.140625" style="89" customWidth="1"/>
    <col min="16116" max="16116" width="22" style="89" customWidth="1"/>
    <col min="16117" max="16117" width="9.7109375" style="89" customWidth="1"/>
    <col min="16118" max="16118" width="9.5703125" style="89" customWidth="1"/>
    <col min="16119" max="16119" width="6.28515625" style="89" customWidth="1"/>
    <col min="16120" max="16120" width="8.85546875" style="89" customWidth="1"/>
    <col min="16121" max="16121" width="47.28515625" style="89" customWidth="1"/>
    <col min="16122" max="16122" width="9.140625" style="89"/>
    <col min="16123" max="16123" width="16.7109375" style="89" bestFit="1" customWidth="1"/>
    <col min="16124" max="16384" width="9.140625" style="89"/>
  </cols>
  <sheetData>
    <row r="1" spans="1:4" s="16" customFormat="1" ht="14.25" x14ac:dyDescent="0.2"/>
    <row r="2" spans="1:4" s="16" customFormat="1" ht="6" customHeight="1" x14ac:dyDescent="0.2"/>
    <row r="3" spans="1:4" s="16" customFormat="1" ht="15" customHeight="1" x14ac:dyDescent="0.35">
      <c r="B3" s="694"/>
      <c r="C3" s="695"/>
      <c r="D3" s="696"/>
    </row>
    <row r="4" spans="1:4" s="16" customFormat="1" ht="20.100000000000001" customHeight="1" x14ac:dyDescent="0.35">
      <c r="B4" s="703" t="str">
        <f>CAPA!B4</f>
        <v>CONCESSIONÁRIA ROTA DE SANTA MARIA</v>
      </c>
      <c r="C4" s="704"/>
      <c r="D4" s="705"/>
    </row>
    <row r="5" spans="1:4" s="16" customFormat="1" ht="12.75" customHeight="1" x14ac:dyDescent="0.3">
      <c r="B5" s="17"/>
      <c r="C5" s="59"/>
      <c r="D5" s="6"/>
    </row>
    <row r="6" spans="1:4" s="16" customFormat="1" ht="20.100000000000001" customHeight="1" x14ac:dyDescent="0.3">
      <c r="B6" s="713"/>
      <c r="C6" s="733"/>
      <c r="D6" s="715"/>
    </row>
    <row r="7" spans="1:4" s="16" customFormat="1" ht="20.100000000000001" customHeight="1" x14ac:dyDescent="0.3">
      <c r="B7" s="713"/>
      <c r="C7" s="733"/>
      <c r="D7" s="715"/>
    </row>
    <row r="8" spans="1:4" s="16" customFormat="1" ht="15" customHeight="1" x14ac:dyDescent="0.3">
      <c r="B8" s="734"/>
      <c r="C8" s="735"/>
      <c r="D8" s="736"/>
    </row>
    <row r="9" spans="1:4" ht="22.5" customHeight="1" x14ac:dyDescent="0.2">
      <c r="B9" s="729" t="s">
        <v>68</v>
      </c>
      <c r="C9" s="730"/>
      <c r="D9" s="731"/>
    </row>
    <row r="10" spans="1:4" ht="19.5" customHeight="1" x14ac:dyDescent="0.2">
      <c r="B10" s="90"/>
      <c r="C10" s="90"/>
      <c r="D10" s="90"/>
    </row>
    <row r="11" spans="1:4" s="92" customFormat="1" ht="32.25" customHeight="1" x14ac:dyDescent="0.3">
      <c r="A11" s="22"/>
      <c r="B11" s="101" t="s">
        <v>66</v>
      </c>
      <c r="C11" s="48" t="str">
        <f>CAPA!$D$31</f>
        <v>RSC-287 KM 28+000 ao KM+180+000</v>
      </c>
      <c r="D11" s="91"/>
    </row>
    <row r="12" spans="1:4" s="92" customFormat="1" ht="15.75" x14ac:dyDescent="0.25">
      <c r="A12" s="60"/>
      <c r="B12" s="102" t="s">
        <v>69</v>
      </c>
      <c r="C12" s="264" t="str">
        <f>CAPA!$B$20</f>
        <v>Aumento de patologias entre a data da proposta
e a assunção da Concessionária</v>
      </c>
      <c r="D12" s="93"/>
    </row>
    <row r="13" spans="1:4" s="92" customFormat="1" ht="15.75" x14ac:dyDescent="0.25">
      <c r="A13" s="60"/>
      <c r="B13" s="102" t="s">
        <v>52</v>
      </c>
      <c r="C13" s="262" t="str">
        <f>CAPA!$D$47</f>
        <v>ABRIL/2022</v>
      </c>
      <c r="D13" s="94"/>
    </row>
    <row r="14" spans="1:4" s="92" customFormat="1" ht="15.75" x14ac:dyDescent="0.25">
      <c r="A14" s="60"/>
      <c r="B14" s="102" t="s">
        <v>79</v>
      </c>
      <c r="C14" s="264" t="s">
        <v>51</v>
      </c>
      <c r="D14" s="94"/>
    </row>
    <row r="15" spans="1:4" s="92" customFormat="1" ht="15.75" x14ac:dyDescent="0.25">
      <c r="A15" s="60"/>
      <c r="B15" s="102" t="s">
        <v>81</v>
      </c>
      <c r="C15" s="259">
        <f>BDI!I36</f>
        <v>0.2676</v>
      </c>
      <c r="D15" s="94"/>
    </row>
    <row r="16" spans="1:4" s="92" customFormat="1" ht="15.75" x14ac:dyDescent="0.25">
      <c r="A16" s="60"/>
      <c r="B16" s="70"/>
      <c r="C16" s="178"/>
      <c r="D16" s="179"/>
    </row>
    <row r="17" spans="1:4" s="92" customFormat="1" ht="15.75" customHeight="1" x14ac:dyDescent="0.2">
      <c r="A17" s="60"/>
      <c r="B17" s="95"/>
      <c r="C17" s="95"/>
      <c r="D17" s="95"/>
    </row>
    <row r="18" spans="1:4" ht="19.899999999999999" customHeight="1" x14ac:dyDescent="0.15">
      <c r="A18" s="60"/>
      <c r="B18" s="732" t="s">
        <v>53</v>
      </c>
      <c r="C18" s="732"/>
      <c r="D18" s="732" t="s">
        <v>58</v>
      </c>
    </row>
    <row r="19" spans="1:4" ht="19.899999999999999" customHeight="1" x14ac:dyDescent="0.15">
      <c r="A19" s="60"/>
      <c r="B19" s="732"/>
      <c r="C19" s="732"/>
      <c r="D19" s="732"/>
    </row>
    <row r="20" spans="1:4" ht="19.899999999999999" customHeight="1" x14ac:dyDescent="0.15">
      <c r="A20" s="60"/>
      <c r="B20" s="718">
        <f>_ORÇAMENTO!B18</f>
        <v>1</v>
      </c>
      <c r="C20" s="720" t="str">
        <f>_ORÇAMENTO!D18</f>
        <v>CBUQ</v>
      </c>
      <c r="D20" s="717">
        <f>_ORÇAMENTO!H18</f>
        <v>7676675.4600000009</v>
      </c>
    </row>
    <row r="21" spans="1:4" ht="19.899999999999999" customHeight="1" x14ac:dyDescent="0.15">
      <c r="A21" s="60"/>
      <c r="B21" s="719"/>
      <c r="C21" s="721"/>
      <c r="D21" s="717"/>
    </row>
    <row r="22" spans="1:4" ht="19.899999999999999" customHeight="1" x14ac:dyDescent="0.15">
      <c r="A22" s="60"/>
      <c r="B22" s="718">
        <f>_ORÇAMENTO!B28</f>
        <v>2</v>
      </c>
      <c r="C22" s="720" t="str">
        <f>_ORÇAMENTO!D28</f>
        <v>MICROFRESAGEM</v>
      </c>
      <c r="D22" s="717">
        <f>_ORÇAMENTO!H28</f>
        <v>66091.33</v>
      </c>
    </row>
    <row r="23" spans="1:4" ht="19.899999999999999" customHeight="1" x14ac:dyDescent="0.15">
      <c r="A23" s="60"/>
      <c r="B23" s="719"/>
      <c r="C23" s="721"/>
      <c r="D23" s="717"/>
    </row>
    <row r="24" spans="1:4" ht="19.899999999999999" customHeight="1" x14ac:dyDescent="0.15">
      <c r="A24" s="60"/>
      <c r="B24" s="718">
        <f>_ORÇAMENTO!B30</f>
        <v>3</v>
      </c>
      <c r="C24" s="720" t="str">
        <f>_ORÇAMENTO!D30</f>
        <v>MICRORREVESTIMENTO</v>
      </c>
      <c r="D24" s="717">
        <f>_ORÇAMENTO!H30</f>
        <v>190056.3</v>
      </c>
    </row>
    <row r="25" spans="1:4" ht="19.899999999999999" customHeight="1" x14ac:dyDescent="0.15">
      <c r="A25" s="60"/>
      <c r="B25" s="719"/>
      <c r="C25" s="721"/>
      <c r="D25" s="717"/>
    </row>
    <row r="26" spans="1:4" ht="19.899999999999999" customHeight="1" x14ac:dyDescent="0.15">
      <c r="A26" s="60"/>
      <c r="B26" s="628"/>
      <c r="C26" s="629"/>
      <c r="D26" s="627"/>
    </row>
    <row r="27" spans="1:4" ht="19.899999999999999" customHeight="1" thickBot="1" x14ac:dyDescent="0.2">
      <c r="A27" s="60"/>
      <c r="B27" s="722"/>
      <c r="C27" s="722"/>
      <c r="D27" s="120"/>
    </row>
    <row r="28" spans="1:4" ht="19.899999999999999" customHeight="1" x14ac:dyDescent="0.15">
      <c r="A28" s="60"/>
      <c r="B28" s="723" t="s">
        <v>59</v>
      </c>
      <c r="C28" s="724"/>
      <c r="D28" s="727">
        <f>SUM(D20:D26)</f>
        <v>7932823.0900000008</v>
      </c>
    </row>
    <row r="29" spans="1:4" s="96" customFormat="1" ht="19.899999999999999" customHeight="1" thickBot="1" x14ac:dyDescent="0.2">
      <c r="A29" s="60"/>
      <c r="B29" s="725"/>
      <c r="C29" s="726"/>
      <c r="D29" s="728"/>
    </row>
    <row r="30" spans="1:4" ht="19.899999999999999" customHeight="1" x14ac:dyDescent="0.25">
      <c r="A30" s="60"/>
      <c r="B30" s="376"/>
      <c r="C30" s="376"/>
      <c r="D30" s="376"/>
    </row>
    <row r="31" spans="1:4" ht="19.899999999999999" customHeight="1" x14ac:dyDescent="0.15">
      <c r="A31" s="60"/>
      <c r="B31" s="732" t="s">
        <v>53</v>
      </c>
      <c r="C31" s="732"/>
      <c r="D31" s="732" t="s">
        <v>58</v>
      </c>
    </row>
    <row r="32" spans="1:4" ht="19.899999999999999" customHeight="1" x14ac:dyDescent="0.15">
      <c r="A32" s="60"/>
      <c r="B32" s="732"/>
      <c r="C32" s="732"/>
      <c r="D32" s="732"/>
    </row>
    <row r="33" spans="1:4" ht="19.899999999999999" customHeight="1" x14ac:dyDescent="0.15">
      <c r="A33" s="60"/>
      <c r="B33" s="718">
        <f>B20</f>
        <v>1</v>
      </c>
      <c r="C33" s="720" t="str">
        <f>C20</f>
        <v>CBUQ</v>
      </c>
      <c r="D33" s="717">
        <f>_ORÇAMENTO!M18</f>
        <v>7811002.2699999996</v>
      </c>
    </row>
    <row r="34" spans="1:4" ht="19.899999999999999" customHeight="1" x14ac:dyDescent="0.15">
      <c r="A34" s="60"/>
      <c r="B34" s="719"/>
      <c r="C34" s="721"/>
      <c r="D34" s="717"/>
    </row>
    <row r="35" spans="1:4" ht="19.899999999999999" customHeight="1" x14ac:dyDescent="0.15">
      <c r="A35" s="60"/>
      <c r="B35" s="718">
        <f>B22</f>
        <v>2</v>
      </c>
      <c r="C35" s="720" t="str">
        <f>C22</f>
        <v>MICROFRESAGEM</v>
      </c>
      <c r="D35" s="717">
        <f>_ORÇAMENTO!M28</f>
        <v>70103.070000000007</v>
      </c>
    </row>
    <row r="36" spans="1:4" ht="19.899999999999999" customHeight="1" x14ac:dyDescent="0.15">
      <c r="A36" s="60"/>
      <c r="B36" s="719"/>
      <c r="C36" s="721"/>
      <c r="D36" s="717"/>
    </row>
    <row r="37" spans="1:4" ht="19.899999999999999" customHeight="1" x14ac:dyDescent="0.15">
      <c r="A37" s="60"/>
      <c r="B37" s="718">
        <f>B24</f>
        <v>3</v>
      </c>
      <c r="C37" s="720" t="str">
        <f>C24</f>
        <v>MICRORREVESTIMENTO</v>
      </c>
      <c r="D37" s="717">
        <f>_ORÇAMENTO!M30</f>
        <v>192581.84999999998</v>
      </c>
    </row>
    <row r="38" spans="1:4" ht="19.899999999999999" customHeight="1" x14ac:dyDescent="0.15">
      <c r="A38" s="60"/>
      <c r="B38" s="719"/>
      <c r="C38" s="721"/>
      <c r="D38" s="717"/>
    </row>
    <row r="39" spans="1:4" ht="19.899999999999999" customHeight="1" thickBot="1" x14ac:dyDescent="0.2">
      <c r="A39" s="60"/>
      <c r="B39" s="722"/>
      <c r="C39" s="722"/>
      <c r="D39" s="120"/>
    </row>
    <row r="40" spans="1:4" ht="19.899999999999999" customHeight="1" x14ac:dyDescent="0.15">
      <c r="A40" s="60"/>
      <c r="B40" s="723" t="s">
        <v>1691</v>
      </c>
      <c r="C40" s="724"/>
      <c r="D40" s="727">
        <f>SUM(D33:D38)</f>
        <v>8073687.1899999995</v>
      </c>
    </row>
    <row r="41" spans="1:4" s="96" customFormat="1" ht="19.899999999999999" customHeight="1" thickBot="1" x14ac:dyDescent="0.2">
      <c r="A41" s="60"/>
      <c r="B41" s="725"/>
      <c r="C41" s="726"/>
      <c r="D41" s="728"/>
    </row>
    <row r="42" spans="1:4" x14ac:dyDescent="0.2">
      <c r="A42" s="60"/>
    </row>
    <row r="43" spans="1:4" x14ac:dyDescent="0.2">
      <c r="A43" s="60"/>
    </row>
    <row r="44" spans="1:4" x14ac:dyDescent="0.2">
      <c r="A44" s="60"/>
    </row>
    <row r="45" spans="1:4" x14ac:dyDescent="0.2">
      <c r="A45" s="60"/>
    </row>
    <row r="46" spans="1:4" x14ac:dyDescent="0.2">
      <c r="A46" s="60"/>
    </row>
    <row r="47" spans="1:4" x14ac:dyDescent="0.2">
      <c r="A47" s="60"/>
    </row>
    <row r="48" spans="1:4" x14ac:dyDescent="0.2">
      <c r="A48" s="60"/>
    </row>
    <row r="49" spans="1:1" x14ac:dyDescent="0.2">
      <c r="A49" s="60"/>
    </row>
    <row r="50" spans="1:1" x14ac:dyDescent="0.2">
      <c r="A50" s="60"/>
    </row>
    <row r="51" spans="1:1" x14ac:dyDescent="0.2">
      <c r="A51" s="60"/>
    </row>
    <row r="52" spans="1:1" x14ac:dyDescent="0.2">
      <c r="A52" s="60"/>
    </row>
    <row r="53" spans="1:1" x14ac:dyDescent="0.2">
      <c r="A53" s="60"/>
    </row>
    <row r="54" spans="1:1" x14ac:dyDescent="0.2">
      <c r="A54" s="60"/>
    </row>
    <row r="55" spans="1:1" x14ac:dyDescent="0.2">
      <c r="A55" s="60"/>
    </row>
    <row r="56" spans="1:1" x14ac:dyDescent="0.2">
      <c r="A56" s="60"/>
    </row>
    <row r="57" spans="1:1" x14ac:dyDescent="0.2">
      <c r="A57" s="60"/>
    </row>
    <row r="58" spans="1:1" x14ac:dyDescent="0.2">
      <c r="A58" s="60"/>
    </row>
    <row r="59" spans="1:1" x14ac:dyDescent="0.2">
      <c r="A59" s="60"/>
    </row>
    <row r="60" spans="1:1" x14ac:dyDescent="0.2">
      <c r="A60" s="60"/>
    </row>
    <row r="61" spans="1:1" x14ac:dyDescent="0.2">
      <c r="A61" s="60"/>
    </row>
    <row r="62" spans="1:1" x14ac:dyDescent="0.2">
      <c r="A62" s="60"/>
    </row>
    <row r="63" spans="1:1" x14ac:dyDescent="0.2">
      <c r="A63" s="60"/>
    </row>
    <row r="64" spans="1:1" x14ac:dyDescent="0.2">
      <c r="A64" s="64"/>
    </row>
    <row r="65" spans="1:1" x14ac:dyDescent="0.2">
      <c r="A65" s="64"/>
    </row>
    <row r="66" spans="1:1" x14ac:dyDescent="0.2">
      <c r="A66" s="64"/>
    </row>
    <row r="67" spans="1:1" x14ac:dyDescent="0.2">
      <c r="A67" s="64"/>
    </row>
    <row r="68" spans="1:1" x14ac:dyDescent="0.2">
      <c r="A68" s="64"/>
    </row>
    <row r="69" spans="1:1" x14ac:dyDescent="0.2">
      <c r="A69" s="64"/>
    </row>
    <row r="70" spans="1:1" x14ac:dyDescent="0.2">
      <c r="A70" s="60"/>
    </row>
    <row r="71" spans="1:1" x14ac:dyDescent="0.2">
      <c r="A71" s="60"/>
    </row>
    <row r="72" spans="1:1" x14ac:dyDescent="0.2">
      <c r="A72" s="60"/>
    </row>
    <row r="73" spans="1:1" x14ac:dyDescent="0.2">
      <c r="A73" s="60"/>
    </row>
    <row r="74" spans="1:1" x14ac:dyDescent="0.2">
      <c r="A74" s="60"/>
    </row>
  </sheetData>
  <mergeCells count="34">
    <mergeCell ref="B39:C39"/>
    <mergeCell ref="B40:C41"/>
    <mergeCell ref="D40:D41"/>
    <mergeCell ref="B35:B36"/>
    <mergeCell ref="C35:C36"/>
    <mergeCell ref="D35:D36"/>
    <mergeCell ref="B37:B38"/>
    <mergeCell ref="C37:C38"/>
    <mergeCell ref="D37:D38"/>
    <mergeCell ref="B31:C32"/>
    <mergeCell ref="D31:D32"/>
    <mergeCell ref="B33:B34"/>
    <mergeCell ref="C33:C34"/>
    <mergeCell ref="D33:D34"/>
    <mergeCell ref="B9:D9"/>
    <mergeCell ref="B18:C19"/>
    <mergeCell ref="D18:D19"/>
    <mergeCell ref="B3:D3"/>
    <mergeCell ref="B4:D4"/>
    <mergeCell ref="B6:D6"/>
    <mergeCell ref="B7:D7"/>
    <mergeCell ref="B8:D8"/>
    <mergeCell ref="B24:B25"/>
    <mergeCell ref="C24:C25"/>
    <mergeCell ref="D24:D25"/>
    <mergeCell ref="B27:C27"/>
    <mergeCell ref="B28:C29"/>
    <mergeCell ref="D28:D29"/>
    <mergeCell ref="D20:D21"/>
    <mergeCell ref="D22:D23"/>
    <mergeCell ref="B20:B21"/>
    <mergeCell ref="C20:C21"/>
    <mergeCell ref="B22:B23"/>
    <mergeCell ref="C22:C23"/>
  </mergeCells>
  <pageMargins left="0.511811024" right="0.511811024" top="0.78740157499999996" bottom="0.78740157499999996" header="0.31496062000000002" footer="0.31496062000000002"/>
  <pageSetup paperSize="9" scale="55" orientation="portrait" r:id="rId1"/>
  <colBreaks count="1" manualBreakCount="1">
    <brk id="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2">
    <pageSetUpPr fitToPage="1"/>
  </sheetPr>
  <dimension ref="A1:M52"/>
  <sheetViews>
    <sheetView showGridLines="0" view="pageBreakPreview" topLeftCell="B15" zoomScale="70" zoomScaleNormal="70" zoomScaleSheetLayoutView="70" workbookViewId="0">
      <selection activeCell="F31" sqref="F31"/>
    </sheetView>
  </sheetViews>
  <sheetFormatPr defaultRowHeight="15" x14ac:dyDescent="0.25"/>
  <cols>
    <col min="1" max="1" width="5.140625" style="161" customWidth="1"/>
    <col min="2" max="2" width="14.42578125" style="111" customWidth="1"/>
    <col min="3" max="3" width="28.5703125" style="108" bestFit="1" customWidth="1"/>
    <col min="4" max="4" width="95.42578125" style="109" customWidth="1"/>
    <col min="5" max="5" width="9.7109375" style="257" bestFit="1" customWidth="1"/>
    <col min="6" max="6" width="21.42578125" style="249" customWidth="1"/>
    <col min="7" max="7" width="17.42578125" style="241" customWidth="1"/>
    <col min="8" max="8" width="30.5703125" style="108" bestFit="1" customWidth="1"/>
    <col min="9" max="9" width="3.7109375" style="108" customWidth="1"/>
    <col min="10" max="10" width="13.140625" style="108" bestFit="1" customWidth="1"/>
    <col min="11" max="11" width="17.85546875" style="108" bestFit="1" customWidth="1"/>
    <col min="12" max="12" width="8.5703125" style="108" bestFit="1" customWidth="1"/>
    <col min="13" max="13" width="25.42578125" style="108" bestFit="1" customWidth="1"/>
    <col min="14" max="16384" width="9.140625" style="108"/>
  </cols>
  <sheetData>
    <row r="1" spans="1:8" s="16" customFormat="1" ht="14.25" x14ac:dyDescent="0.2">
      <c r="B1" s="103"/>
      <c r="C1" s="103"/>
      <c r="D1" s="239"/>
      <c r="E1" s="103"/>
      <c r="F1" s="244"/>
      <c r="G1" s="244"/>
    </row>
    <row r="2" spans="1:8" s="16" customFormat="1" ht="14.25" x14ac:dyDescent="0.2">
      <c r="B2" s="103"/>
      <c r="C2" s="103"/>
      <c r="D2" s="239"/>
      <c r="E2" s="103"/>
      <c r="F2" s="244"/>
      <c r="G2" s="244"/>
    </row>
    <row r="3" spans="1:8" s="112" customFormat="1" ht="43.5" customHeight="1" x14ac:dyDescent="0.35">
      <c r="B3" s="694" t="str">
        <f>CAPA!$B$4</f>
        <v>CONCESSIONÁRIA ROTA DE SANTA MARIA</v>
      </c>
      <c r="C3" s="695"/>
      <c r="D3" s="695"/>
      <c r="E3" s="695"/>
      <c r="F3" s="695"/>
      <c r="G3" s="695"/>
      <c r="H3" s="696"/>
    </row>
    <row r="4" spans="1:8" s="16" customFormat="1" ht="20.25" x14ac:dyDescent="0.3">
      <c r="B4" s="740"/>
      <c r="C4" s="741"/>
      <c r="D4" s="741"/>
      <c r="E4" s="741"/>
      <c r="F4" s="741"/>
      <c r="G4" s="741"/>
      <c r="H4" s="742"/>
    </row>
    <row r="5" spans="1:8" s="16" customFormat="1" ht="20.25" x14ac:dyDescent="0.2">
      <c r="B5" s="743"/>
      <c r="C5" s="744"/>
      <c r="D5" s="744"/>
      <c r="E5" s="744"/>
      <c r="F5" s="744"/>
      <c r="G5" s="744"/>
      <c r="H5" s="745"/>
    </row>
    <row r="6" spans="1:8" s="112" customFormat="1" ht="20.25" x14ac:dyDescent="0.25">
      <c r="B6" s="746"/>
      <c r="C6" s="747"/>
      <c r="D6" s="747"/>
      <c r="E6" s="747"/>
      <c r="F6" s="747"/>
      <c r="G6" s="747"/>
      <c r="H6" s="748"/>
    </row>
    <row r="7" spans="1:8" s="16" customFormat="1" ht="14.25" x14ac:dyDescent="0.2">
      <c r="D7" s="239"/>
      <c r="E7" s="103"/>
      <c r="F7" s="244"/>
      <c r="G7" s="244"/>
    </row>
    <row r="8" spans="1:8" s="106" customFormat="1" ht="20.25" x14ac:dyDescent="0.2">
      <c r="A8" s="16"/>
      <c r="B8" s="737" t="s">
        <v>64</v>
      </c>
      <c r="C8" s="738"/>
      <c r="D8" s="738"/>
      <c r="E8" s="738"/>
      <c r="F8" s="738"/>
      <c r="G8" s="738"/>
      <c r="H8" s="739"/>
    </row>
    <row r="10" spans="1:8" s="149" customFormat="1" ht="15.75" x14ac:dyDescent="0.25">
      <c r="A10" s="144"/>
      <c r="B10" s="145"/>
      <c r="C10" s="146"/>
      <c r="D10" s="147"/>
      <c r="E10" s="246"/>
      <c r="F10" s="254"/>
      <c r="G10" s="252" t="s">
        <v>52</v>
      </c>
      <c r="H10" s="242" t="str">
        <f>CAPA!D47</f>
        <v>ABRIL/2022</v>
      </c>
    </row>
    <row r="11" spans="1:8" s="149" customFormat="1" ht="15.75" x14ac:dyDescent="0.25">
      <c r="A11" s="150"/>
      <c r="B11" s="151"/>
      <c r="C11" s="152" t="s">
        <v>66</v>
      </c>
      <c r="D11" s="153" t="s">
        <v>204</v>
      </c>
      <c r="E11" s="265"/>
      <c r="F11" s="248"/>
      <c r="G11" s="253" t="s">
        <v>79</v>
      </c>
      <c r="H11" s="143" t="s">
        <v>1703</v>
      </c>
    </row>
    <row r="12" spans="1:8" s="149" customFormat="1" ht="15.75" x14ac:dyDescent="0.25">
      <c r="A12" s="150"/>
      <c r="B12" s="151"/>
      <c r="C12" s="152" t="s">
        <v>69</v>
      </c>
      <c r="D12" s="155" t="str">
        <f>CAPA!$B$20</f>
        <v>Aumento de patologias entre a data da proposta
e a assunção da Concessionária</v>
      </c>
      <c r="E12" s="265"/>
      <c r="F12" s="248"/>
      <c r="G12" s="253" t="s">
        <v>23</v>
      </c>
      <c r="H12" s="158">
        <f>BDI!I36</f>
        <v>0.2676</v>
      </c>
    </row>
    <row r="13" spans="1:8" s="149" customFormat="1" ht="15.75" x14ac:dyDescent="0.25">
      <c r="A13" s="150"/>
      <c r="B13" s="156"/>
      <c r="C13" s="237"/>
      <c r="D13" s="157"/>
      <c r="E13" s="263"/>
      <c r="F13" s="243"/>
      <c r="G13" s="247"/>
      <c r="H13" s="159"/>
    </row>
    <row r="15" spans="1:8" s="107" customFormat="1" ht="30.95" customHeight="1" x14ac:dyDescent="0.25">
      <c r="A15" s="240"/>
      <c r="B15" s="753" t="s">
        <v>50</v>
      </c>
      <c r="C15" s="757" t="s">
        <v>49</v>
      </c>
      <c r="D15" s="755" t="s">
        <v>70</v>
      </c>
      <c r="E15" s="756"/>
      <c r="F15" s="751" t="s">
        <v>42</v>
      </c>
      <c r="G15" s="377" t="s">
        <v>82</v>
      </c>
      <c r="H15" s="15" t="s">
        <v>80</v>
      </c>
    </row>
    <row r="16" spans="1:8" s="107" customFormat="1" ht="30.95" customHeight="1" x14ac:dyDescent="0.25">
      <c r="A16" s="240"/>
      <c r="B16" s="754"/>
      <c r="C16" s="758"/>
      <c r="D16" s="115" t="s">
        <v>71</v>
      </c>
      <c r="E16" s="115" t="s">
        <v>72</v>
      </c>
      <c r="F16" s="752"/>
      <c r="G16" s="261" t="s">
        <v>86</v>
      </c>
      <c r="H16" s="116" t="s">
        <v>48</v>
      </c>
    </row>
    <row r="17" spans="2:13" ht="30.95" customHeight="1" x14ac:dyDescent="0.25">
      <c r="B17" s="749" t="str">
        <f>CAPA!$B$20</f>
        <v>Aumento de patologias entre a data da proposta
e a assunção da Concessionária</v>
      </c>
      <c r="C17" s="750"/>
      <c r="D17" s="750"/>
      <c r="E17" s="750"/>
      <c r="F17" s="750"/>
      <c r="G17" s="258"/>
      <c r="H17" s="238">
        <f>H18+H28+H30</f>
        <v>7932823.0900000008</v>
      </c>
      <c r="M17" s="238">
        <f>M18+M28+M30</f>
        <v>8073687.1899999995</v>
      </c>
    </row>
    <row r="18" spans="2:13" ht="30" customHeight="1" x14ac:dyDescent="0.25">
      <c r="B18" s="383">
        <v>1</v>
      </c>
      <c r="C18" s="384"/>
      <c r="D18" s="385" t="s">
        <v>188</v>
      </c>
      <c r="E18" s="383"/>
      <c r="F18" s="386"/>
      <c r="G18" s="386"/>
      <c r="H18" s="387">
        <f>SUM(H19:H27)</f>
        <v>7676675.4600000009</v>
      </c>
      <c r="M18" s="387">
        <f>SUM(M19:M27)</f>
        <v>7811002.2699999996</v>
      </c>
    </row>
    <row r="19" spans="2:13" ht="30" customHeight="1" x14ac:dyDescent="0.25">
      <c r="B19" s="117" t="s">
        <v>76</v>
      </c>
      <c r="C19" s="118">
        <v>4915705</v>
      </c>
      <c r="D19" s="245" t="s">
        <v>311</v>
      </c>
      <c r="E19" s="118" t="s">
        <v>191</v>
      </c>
      <c r="F19" s="255">
        <f>F20*0.05</f>
        <v>4067.1000000000004</v>
      </c>
      <c r="G19" s="160">
        <f>CPUs!K63</f>
        <v>156.3965</v>
      </c>
      <c r="H19" s="119">
        <f t="shared" ref="H19:H27" si="0">TRUNC(F19*G19,2)</f>
        <v>636080.19999999995</v>
      </c>
      <c r="K19" s="631" t="s">
        <v>1655</v>
      </c>
      <c r="L19" s="632">
        <f>VLOOKUP(K19,ÍNDICES!$C$19:$I$28,6,0)</f>
        <v>6.0699999999999997E-2</v>
      </c>
      <c r="M19" s="633">
        <f>TRUNC(H19*(1+L19),2)</f>
        <v>674690.26</v>
      </c>
    </row>
    <row r="20" spans="2:13" ht="30" customHeight="1" x14ac:dyDescent="0.25">
      <c r="B20" s="117" t="s">
        <v>73</v>
      </c>
      <c r="C20" s="118">
        <v>4011353</v>
      </c>
      <c r="D20" s="245" t="s">
        <v>190</v>
      </c>
      <c r="E20" s="118" t="s">
        <v>189</v>
      </c>
      <c r="F20" s="255">
        <v>81342</v>
      </c>
      <c r="G20" s="160">
        <f>CPUs!K128</f>
        <v>0.40560000000000002</v>
      </c>
      <c r="H20" s="119">
        <f t="shared" si="0"/>
        <v>32992.31</v>
      </c>
      <c r="I20" s="121"/>
      <c r="K20" s="631" t="s">
        <v>1656</v>
      </c>
      <c r="L20" s="632">
        <f>VLOOKUP(K20,ÍNDICES!$C$19:$I$28,6,0)</f>
        <v>7.1900000000000006E-2</v>
      </c>
      <c r="M20" s="633">
        <f t="shared" ref="M20:M33" si="1">TRUNC(H20*(1+L20),2)</f>
        <v>35364.449999999997</v>
      </c>
    </row>
    <row r="21" spans="2:13" ht="30" customHeight="1" x14ac:dyDescent="0.25">
      <c r="B21" s="117" t="s">
        <v>1695</v>
      </c>
      <c r="C21" s="118">
        <v>4011464</v>
      </c>
      <c r="D21" s="245" t="s">
        <v>1650</v>
      </c>
      <c r="E21" s="260" t="s">
        <v>195</v>
      </c>
      <c r="F21" s="250">
        <f>F19*2.448</f>
        <v>9956.2608</v>
      </c>
      <c r="G21" s="160">
        <f>CPUs!K193</f>
        <v>23.868899999999996</v>
      </c>
      <c r="H21" s="119">
        <f t="shared" si="0"/>
        <v>237644.99</v>
      </c>
      <c r="K21" s="631" t="s">
        <v>1656</v>
      </c>
      <c r="L21" s="632">
        <f>VLOOKUP(K21,ÍNDICES!$C$19:$I$28,6,0)</f>
        <v>7.1900000000000006E-2</v>
      </c>
      <c r="M21" s="633">
        <f t="shared" si="1"/>
        <v>254731.66</v>
      </c>
    </row>
    <row r="22" spans="2:13" ht="30" customHeight="1" x14ac:dyDescent="0.25">
      <c r="B22" s="117" t="s">
        <v>1696</v>
      </c>
      <c r="C22" s="118" t="s">
        <v>1651</v>
      </c>
      <c r="D22" s="245" t="str">
        <f>UPPER("Massa asfáltica comercial - capa de rolamento (DENSIDADE=2,448KG/M3)")</f>
        <v>MASSA ASFÁLTICA COMERCIAL - CAPA DE ROLAMENTO (DENSIDADE=2,448KG/M3)</v>
      </c>
      <c r="E22" s="260" t="s">
        <v>195</v>
      </c>
      <c r="F22" s="250">
        <f>F21</f>
        <v>9956.2608</v>
      </c>
      <c r="G22" s="160">
        <f>CPUs!K1030</f>
        <v>204.18450000000001</v>
      </c>
      <c r="H22" s="119">
        <f t="shared" si="0"/>
        <v>2032914.13</v>
      </c>
      <c r="K22" s="631" t="s">
        <v>1656</v>
      </c>
      <c r="L22" s="632">
        <f>VLOOKUP(K22,ÍNDICES!$C$19:$I$28,6,0)</f>
        <v>7.1900000000000006E-2</v>
      </c>
      <c r="M22" s="633">
        <f t="shared" si="1"/>
        <v>2179080.65</v>
      </c>
    </row>
    <row r="23" spans="2:13" ht="30" customHeight="1" x14ac:dyDescent="0.25">
      <c r="B23" s="117" t="s">
        <v>1697</v>
      </c>
      <c r="C23" s="118">
        <v>5914389</v>
      </c>
      <c r="D23" s="245" t="s">
        <v>1705</v>
      </c>
      <c r="E23" s="260" t="s">
        <v>192</v>
      </c>
      <c r="F23" s="250">
        <f>F22*50</f>
        <v>497813.04</v>
      </c>
      <c r="G23" s="160">
        <f>CPUs!K258</f>
        <v>1.1154999999999999</v>
      </c>
      <c r="H23" s="119">
        <f t="shared" si="0"/>
        <v>555310.43999999994</v>
      </c>
      <c r="K23" s="631" t="s">
        <v>1656</v>
      </c>
      <c r="L23" s="632">
        <f>VLOOKUP(K23,ÍNDICES!$C$19:$I$28,6,0)</f>
        <v>7.1900000000000006E-2</v>
      </c>
      <c r="M23" s="633">
        <f t="shared" si="1"/>
        <v>595237.26</v>
      </c>
    </row>
    <row r="24" spans="2:13" ht="30" customHeight="1" x14ac:dyDescent="0.25">
      <c r="B24" s="117" t="s">
        <v>1698</v>
      </c>
      <c r="C24" s="118" t="s">
        <v>193</v>
      </c>
      <c r="D24" s="245" t="s">
        <v>194</v>
      </c>
      <c r="E24" s="260" t="s">
        <v>195</v>
      </c>
      <c r="F24" s="250">
        <f>F21*0.4/1000</f>
        <v>3.9825043199999999</v>
      </c>
      <c r="G24" s="160">
        <f>CPUs!K321</f>
        <v>4663.5297999999993</v>
      </c>
      <c r="H24" s="119">
        <f t="shared" si="0"/>
        <v>18572.52</v>
      </c>
      <c r="K24" s="631" t="s">
        <v>1657</v>
      </c>
      <c r="L24" s="632">
        <f>VLOOKUP(K24,ÍNDICES!$C$19:$I$28,6,0)</f>
        <v>-2.7099999999999999E-2</v>
      </c>
      <c r="M24" s="633">
        <f t="shared" si="1"/>
        <v>18069.2</v>
      </c>
    </row>
    <row r="25" spans="2:13" ht="30" customHeight="1" x14ac:dyDescent="0.25">
      <c r="B25" s="117" t="s">
        <v>1699</v>
      </c>
      <c r="C25" s="118" t="s">
        <v>196</v>
      </c>
      <c r="D25" s="245" t="s">
        <v>1706</v>
      </c>
      <c r="E25" s="260" t="s">
        <v>195</v>
      </c>
      <c r="F25" s="250">
        <f>F22*5%</f>
        <v>497.81304</v>
      </c>
      <c r="G25" s="160">
        <f>CPUs!K447</f>
        <v>8111.8307999999997</v>
      </c>
      <c r="H25" s="119">
        <f t="shared" si="0"/>
        <v>4038175.15</v>
      </c>
      <c r="K25" s="626" t="s">
        <v>1659</v>
      </c>
      <c r="L25" s="632">
        <f>VLOOKUP(K25,ÍNDICES!$C$19:$I$28,6,0)</f>
        <v>-2.93E-2</v>
      </c>
      <c r="M25" s="633">
        <f t="shared" si="1"/>
        <v>3919856.61</v>
      </c>
    </row>
    <row r="26" spans="2:13" ht="30" customHeight="1" x14ac:dyDescent="0.25">
      <c r="B26" s="117" t="s">
        <v>1700</v>
      </c>
      <c r="C26" s="118" t="s">
        <v>197</v>
      </c>
      <c r="D26" s="245" t="s">
        <v>198</v>
      </c>
      <c r="E26" s="260" t="s">
        <v>195</v>
      </c>
      <c r="F26" s="250">
        <f>F25</f>
        <v>497.81304</v>
      </c>
      <c r="G26" s="160">
        <f>CPUs!K510</f>
        <v>125.53479999999999</v>
      </c>
      <c r="H26" s="119">
        <f t="shared" si="0"/>
        <v>62492.86</v>
      </c>
      <c r="K26" s="631" t="s">
        <v>1656</v>
      </c>
      <c r="L26" s="632">
        <f>VLOOKUP(K26,ÍNDICES!$C$19:$I$28,6,0)</f>
        <v>7.1900000000000006E-2</v>
      </c>
      <c r="M26" s="633">
        <f t="shared" si="1"/>
        <v>66986.09</v>
      </c>
    </row>
    <row r="27" spans="2:13" ht="30" customHeight="1" x14ac:dyDescent="0.25">
      <c r="B27" s="117" t="s">
        <v>1701</v>
      </c>
      <c r="C27" s="118" t="s">
        <v>199</v>
      </c>
      <c r="D27" s="245" t="s">
        <v>200</v>
      </c>
      <c r="E27" s="260" t="s">
        <v>195</v>
      </c>
      <c r="F27" s="250">
        <f>F26</f>
        <v>497.81304</v>
      </c>
      <c r="G27" s="160">
        <f>CPUs!K636</f>
        <v>125.53479999999999</v>
      </c>
      <c r="H27" s="119">
        <f t="shared" si="0"/>
        <v>62492.86</v>
      </c>
      <c r="K27" s="631" t="s">
        <v>1656</v>
      </c>
      <c r="L27" s="632">
        <f>VLOOKUP(K27,ÍNDICES!$C$19:$I$28,6,0)</f>
        <v>7.1900000000000006E-2</v>
      </c>
      <c r="M27" s="633">
        <f t="shared" si="1"/>
        <v>66986.09</v>
      </c>
    </row>
    <row r="28" spans="2:13" ht="30" customHeight="1" x14ac:dyDescent="0.25">
      <c r="B28" s="383">
        <v>2</v>
      </c>
      <c r="C28" s="384"/>
      <c r="D28" s="385" t="s">
        <v>201</v>
      </c>
      <c r="E28" s="383"/>
      <c r="F28" s="386"/>
      <c r="G28" s="386"/>
      <c r="H28" s="387">
        <f>H29</f>
        <v>66091.33</v>
      </c>
      <c r="K28" s="631"/>
      <c r="L28" s="632"/>
      <c r="M28" s="387">
        <f>M29</f>
        <v>70103.070000000007</v>
      </c>
    </row>
    <row r="29" spans="2:13" ht="30" customHeight="1" x14ac:dyDescent="0.25">
      <c r="B29" s="117" t="s">
        <v>77</v>
      </c>
      <c r="C29" s="118" t="s">
        <v>312</v>
      </c>
      <c r="D29" s="245" t="s">
        <v>314</v>
      </c>
      <c r="E29" s="260" t="s">
        <v>191</v>
      </c>
      <c r="F29" s="250">
        <f>15444*0.01</f>
        <v>154.44</v>
      </c>
      <c r="G29" s="256">
        <f>CPUs!K701</f>
        <v>427.94180000000006</v>
      </c>
      <c r="H29" s="119">
        <f t="shared" ref="H29" si="2">TRUNC(F29*G29,2)</f>
        <v>66091.33</v>
      </c>
      <c r="J29" s="598"/>
      <c r="K29" s="631" t="s">
        <v>1655</v>
      </c>
      <c r="L29" s="632">
        <f>VLOOKUP(K29,ÍNDICES!$C$19:$I$28,6,0)</f>
        <v>6.0699999999999997E-2</v>
      </c>
      <c r="M29" s="633">
        <f t="shared" si="1"/>
        <v>70103.070000000007</v>
      </c>
    </row>
    <row r="30" spans="2:13" ht="30" customHeight="1" x14ac:dyDescent="0.25">
      <c r="B30" s="383">
        <v>3</v>
      </c>
      <c r="C30" s="384"/>
      <c r="D30" s="385" t="s">
        <v>202</v>
      </c>
      <c r="E30" s="383"/>
      <c r="F30" s="386"/>
      <c r="G30" s="386"/>
      <c r="H30" s="387">
        <f>SUM(H31:H33)</f>
        <v>190056.3</v>
      </c>
      <c r="K30" s="631"/>
      <c r="L30" s="632"/>
      <c r="M30" s="387">
        <f>SUM(M31:M33)</f>
        <v>192581.84999999998</v>
      </c>
    </row>
    <row r="31" spans="2:13" ht="30" customHeight="1" x14ac:dyDescent="0.25">
      <c r="B31" s="117" t="s">
        <v>74</v>
      </c>
      <c r="C31" s="118" t="s">
        <v>313</v>
      </c>
      <c r="D31" s="245" t="s">
        <v>203</v>
      </c>
      <c r="E31" s="260" t="s">
        <v>189</v>
      </c>
      <c r="F31" s="250">
        <v>10044</v>
      </c>
      <c r="G31" s="256">
        <f>CPUs!K831</f>
        <v>4.5507</v>
      </c>
      <c r="H31" s="119">
        <f t="shared" ref="H31:H33" si="3">TRUNC(F31*G31,2)</f>
        <v>45707.23</v>
      </c>
      <c r="K31" s="631" t="s">
        <v>1655</v>
      </c>
      <c r="L31" s="632">
        <f>VLOOKUP(K31,ÍNDICES!$C$19:$I$28,6,0)</f>
        <v>6.0699999999999997E-2</v>
      </c>
      <c r="M31" s="633">
        <f t="shared" si="1"/>
        <v>48481.65</v>
      </c>
    </row>
    <row r="32" spans="2:13" ht="30" customHeight="1" x14ac:dyDescent="0.25">
      <c r="B32" s="117" t="s">
        <v>1693</v>
      </c>
      <c r="C32" s="118" t="s">
        <v>309</v>
      </c>
      <c r="D32" s="245" t="s">
        <v>1707</v>
      </c>
      <c r="E32" s="260" t="s">
        <v>195</v>
      </c>
      <c r="F32" s="250">
        <f>F31*2.25/1000</f>
        <v>22.599</v>
      </c>
      <c r="G32" s="256">
        <f>CPUs!K894</f>
        <v>6261.8750999999993</v>
      </c>
      <c r="H32" s="119">
        <f t="shared" si="3"/>
        <v>141512.10999999999</v>
      </c>
      <c r="K32" s="626" t="s">
        <v>1660</v>
      </c>
      <c r="L32" s="632">
        <f>VLOOKUP(K32,ÍNDICES!$C$19:$I$28,6,0)</f>
        <v>-3.2000000000000002E-3</v>
      </c>
      <c r="M32" s="633">
        <f t="shared" si="1"/>
        <v>141059.26999999999</v>
      </c>
    </row>
    <row r="33" spans="2:13" ht="30" customHeight="1" x14ac:dyDescent="0.25">
      <c r="B33" s="117" t="s">
        <v>1694</v>
      </c>
      <c r="C33" s="118" t="s">
        <v>310</v>
      </c>
      <c r="D33" s="245" t="s">
        <v>307</v>
      </c>
      <c r="E33" s="260" t="s">
        <v>195</v>
      </c>
      <c r="F33" s="250">
        <f>F32</f>
        <v>22.599</v>
      </c>
      <c r="G33" s="256">
        <f>CPUs!K957</f>
        <v>125.53479999999999</v>
      </c>
      <c r="H33" s="119">
        <f t="shared" si="3"/>
        <v>2836.96</v>
      </c>
      <c r="K33" s="631" t="s">
        <v>1656</v>
      </c>
      <c r="L33" s="632">
        <f>VLOOKUP(K33,ÍNDICES!$C$19:$I$28,6,0)</f>
        <v>7.1900000000000006E-2</v>
      </c>
      <c r="M33" s="633">
        <f t="shared" si="1"/>
        <v>3040.93</v>
      </c>
    </row>
    <row r="34" spans="2:13" x14ac:dyDescent="0.25">
      <c r="B34" s="108"/>
      <c r="D34" s="108"/>
      <c r="E34" s="108"/>
      <c r="F34" s="241"/>
      <c r="G34" s="251"/>
    </row>
    <row r="35" spans="2:13" x14ac:dyDescent="0.25">
      <c r="G35" s="251"/>
      <c r="H35" s="241"/>
      <c r="I35" s="166"/>
    </row>
    <row r="36" spans="2:13" x14ac:dyDescent="0.25">
      <c r="G36" s="251"/>
      <c r="I36" s="166"/>
    </row>
    <row r="37" spans="2:13" x14ac:dyDescent="0.25">
      <c r="G37" s="251"/>
      <c r="H37" s="241"/>
      <c r="I37" s="166"/>
    </row>
    <row r="38" spans="2:13" x14ac:dyDescent="0.25">
      <c r="G38" s="251"/>
      <c r="I38" s="166"/>
    </row>
    <row r="39" spans="2:13" x14ac:dyDescent="0.25">
      <c r="G39" s="251"/>
      <c r="I39" s="166"/>
    </row>
    <row r="40" spans="2:13" x14ac:dyDescent="0.25">
      <c r="G40" s="251"/>
      <c r="H40" s="110"/>
      <c r="I40" s="166"/>
    </row>
    <row r="41" spans="2:13" x14ac:dyDescent="0.25">
      <c r="G41" s="251"/>
      <c r="H41" s="110"/>
      <c r="I41" s="166"/>
    </row>
    <row r="42" spans="2:13" x14ac:dyDescent="0.25">
      <c r="G42" s="251"/>
      <c r="H42" s="110"/>
      <c r="I42" s="166"/>
    </row>
    <row r="43" spans="2:13" x14ac:dyDescent="0.25">
      <c r="G43" s="251"/>
      <c r="H43" s="110"/>
      <c r="I43" s="166"/>
    </row>
    <row r="44" spans="2:13" x14ac:dyDescent="0.25">
      <c r="G44" s="251"/>
      <c r="H44" s="110"/>
      <c r="I44" s="166"/>
    </row>
    <row r="45" spans="2:13" x14ac:dyDescent="0.25">
      <c r="G45" s="251"/>
      <c r="H45" s="110"/>
      <c r="I45" s="166"/>
    </row>
    <row r="46" spans="2:13" x14ac:dyDescent="0.25">
      <c r="G46" s="251"/>
      <c r="H46" s="110"/>
      <c r="I46" s="166"/>
    </row>
    <row r="47" spans="2:13" x14ac:dyDescent="0.25">
      <c r="G47" s="251"/>
      <c r="H47" s="110"/>
      <c r="I47" s="166"/>
    </row>
    <row r="48" spans="2:13" x14ac:dyDescent="0.25">
      <c r="G48" s="251"/>
      <c r="H48" s="110"/>
      <c r="I48" s="166"/>
    </row>
    <row r="49" spans="7:9" x14ac:dyDescent="0.25">
      <c r="G49" s="251"/>
      <c r="H49" s="110"/>
      <c r="I49" s="166"/>
    </row>
    <row r="50" spans="7:9" x14ac:dyDescent="0.25">
      <c r="G50" s="251"/>
      <c r="H50" s="110"/>
      <c r="I50" s="166"/>
    </row>
    <row r="51" spans="7:9" x14ac:dyDescent="0.25">
      <c r="G51" s="251"/>
      <c r="H51" s="110"/>
      <c r="I51" s="166"/>
    </row>
    <row r="52" spans="7:9" x14ac:dyDescent="0.25">
      <c r="G52" s="251"/>
      <c r="H52" s="110"/>
      <c r="I52" s="166"/>
    </row>
  </sheetData>
  <autoFilter ref="B15:H33" xr:uid="{00000000-0009-0000-0000-000003000000}">
    <filterColumn colId="2" showButton="0"/>
  </autoFilter>
  <mergeCells count="10">
    <mergeCell ref="B17:F17"/>
    <mergeCell ref="F15:F16"/>
    <mergeCell ref="B15:B16"/>
    <mergeCell ref="D15:E15"/>
    <mergeCell ref="C15:C16"/>
    <mergeCell ref="B8:H8"/>
    <mergeCell ref="B3:H3"/>
    <mergeCell ref="B4:H4"/>
    <mergeCell ref="B5:H5"/>
    <mergeCell ref="B6:H6"/>
  </mergeCells>
  <phoneticPr fontId="92" type="noConversion"/>
  <pageMargins left="0.51181102362204722" right="0.51181102362204722" top="0.78740157480314965" bottom="0.78740157480314965" header="0.31496062992125984" footer="0.31496062992125984"/>
  <pageSetup paperSize="9" scale="4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J77"/>
  <sheetViews>
    <sheetView showGridLines="0" view="pageBreakPreview" zoomScale="61" zoomScaleNormal="55" zoomScaleSheetLayoutView="40" workbookViewId="0">
      <selection activeCell="E60" sqref="E60"/>
    </sheetView>
  </sheetViews>
  <sheetFormatPr defaultRowHeight="15" x14ac:dyDescent="0.25"/>
  <cols>
    <col min="1" max="1" width="5.140625" style="161" customWidth="1"/>
    <col min="2" max="2" width="14.42578125" style="111" customWidth="1"/>
    <col min="3" max="3" width="28.5703125" style="108" bestFit="1" customWidth="1"/>
    <col min="4" max="4" width="79.28515625" style="109" customWidth="1"/>
    <col min="5" max="5" width="19.5703125" style="109" customWidth="1"/>
    <col min="6" max="7" width="8.7109375" style="109" customWidth="1"/>
    <col min="8" max="8" width="7.85546875" style="109" customWidth="1"/>
    <col min="9" max="9" width="9.7109375" style="257" bestFit="1" customWidth="1"/>
    <col min="10" max="10" width="9.7109375" style="257" customWidth="1"/>
    <col min="11" max="11" width="10" style="249" customWidth="1"/>
    <col min="12" max="12" width="22" style="241" customWidth="1"/>
    <col min="13" max="13" width="22.28515625" style="108" bestFit="1" customWidth="1"/>
    <col min="14" max="14" width="5" style="108" customWidth="1"/>
    <col min="15" max="16384" width="9.140625" style="108"/>
  </cols>
  <sheetData>
    <row r="1" spans="1:13" s="16" customFormat="1" ht="14.25" x14ac:dyDescent="0.2">
      <c r="B1" s="103"/>
      <c r="C1" s="103"/>
      <c r="D1" s="239"/>
      <c r="E1" s="239"/>
      <c r="F1" s="239"/>
      <c r="G1" s="239"/>
      <c r="H1" s="239"/>
      <c r="I1" s="103"/>
      <c r="J1" s="103"/>
      <c r="K1" s="244"/>
      <c r="L1" s="244"/>
    </row>
    <row r="2" spans="1:13" s="16" customFormat="1" ht="14.25" x14ac:dyDescent="0.2">
      <c r="B2" s="103"/>
      <c r="C2" s="103"/>
      <c r="D2" s="239"/>
      <c r="E2" s="239"/>
      <c r="F2" s="239"/>
      <c r="G2" s="239"/>
      <c r="H2" s="239"/>
      <c r="I2" s="103"/>
      <c r="J2" s="103"/>
      <c r="K2" s="244"/>
      <c r="L2" s="244"/>
    </row>
    <row r="3" spans="1:13" s="16" customFormat="1" ht="23.25" x14ac:dyDescent="0.35">
      <c r="B3" s="694"/>
      <c r="C3" s="695"/>
      <c r="D3" s="695"/>
      <c r="E3" s="695"/>
      <c r="F3" s="695"/>
      <c r="G3" s="695"/>
      <c r="H3" s="695"/>
      <c r="I3" s="695"/>
      <c r="J3" s="695"/>
      <c r="K3" s="695"/>
      <c r="L3" s="695"/>
      <c r="M3" s="696"/>
    </row>
    <row r="4" spans="1:13" s="112" customFormat="1" ht="23.25" x14ac:dyDescent="0.35">
      <c r="B4" s="703" t="str">
        <f>CAPA!$B$4</f>
        <v>CONCESSIONÁRIA ROTA DE SANTA MARIA</v>
      </c>
      <c r="C4" s="704"/>
      <c r="D4" s="704"/>
      <c r="E4" s="704"/>
      <c r="F4" s="704"/>
      <c r="G4" s="704"/>
      <c r="H4" s="704"/>
      <c r="I4" s="704"/>
      <c r="J4" s="704"/>
      <c r="K4" s="704"/>
      <c r="L4" s="704"/>
      <c r="M4" s="705"/>
    </row>
    <row r="5" spans="1:13" s="16" customFormat="1" ht="20.25" x14ac:dyDescent="0.3">
      <c r="B5" s="740"/>
      <c r="C5" s="741"/>
      <c r="D5" s="741"/>
      <c r="E5" s="741"/>
      <c r="F5" s="741"/>
      <c r="G5" s="741"/>
      <c r="H5" s="741"/>
      <c r="I5" s="741"/>
      <c r="J5" s="741"/>
      <c r="K5" s="741"/>
      <c r="L5" s="741"/>
      <c r="M5" s="742"/>
    </row>
    <row r="6" spans="1:13" s="16" customFormat="1" ht="20.25" x14ac:dyDescent="0.2">
      <c r="B6" s="743"/>
      <c r="C6" s="744"/>
      <c r="D6" s="744"/>
      <c r="E6" s="744"/>
      <c r="F6" s="744"/>
      <c r="G6" s="744"/>
      <c r="H6" s="744"/>
      <c r="I6" s="744"/>
      <c r="J6" s="744"/>
      <c r="K6" s="744"/>
      <c r="L6" s="744"/>
      <c r="M6" s="745"/>
    </row>
    <row r="7" spans="1:13" s="112" customFormat="1" ht="20.25" x14ac:dyDescent="0.25">
      <c r="B7" s="743"/>
      <c r="C7" s="744"/>
      <c r="D7" s="744"/>
      <c r="E7" s="744"/>
      <c r="F7" s="744"/>
      <c r="G7" s="744"/>
      <c r="H7" s="744"/>
      <c r="I7" s="744"/>
      <c r="J7" s="744"/>
      <c r="K7" s="744"/>
      <c r="L7" s="744"/>
      <c r="M7" s="745"/>
    </row>
    <row r="8" spans="1:13" s="16" customFormat="1" ht="20.25" x14ac:dyDescent="0.3">
      <c r="B8" s="104"/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6"/>
    </row>
    <row r="9" spans="1:13" s="16" customFormat="1" ht="14.25" x14ac:dyDescent="0.2">
      <c r="D9" s="239"/>
      <c r="E9" s="239"/>
      <c r="F9" s="239"/>
      <c r="G9" s="239"/>
      <c r="H9" s="239"/>
      <c r="I9" s="103"/>
      <c r="J9" s="103"/>
      <c r="K9" s="244"/>
      <c r="L9" s="244"/>
    </row>
    <row r="10" spans="1:13" s="106" customFormat="1" ht="20.25" x14ac:dyDescent="0.2">
      <c r="A10" s="16"/>
      <c r="B10" s="737" t="s">
        <v>94</v>
      </c>
      <c r="C10" s="738"/>
      <c r="D10" s="738"/>
      <c r="E10" s="738"/>
      <c r="F10" s="738"/>
      <c r="G10" s="738"/>
      <c r="H10" s="738"/>
      <c r="I10" s="738"/>
      <c r="J10" s="738"/>
      <c r="K10" s="738"/>
      <c r="L10" s="738"/>
      <c r="M10" s="739"/>
    </row>
    <row r="12" spans="1:13" s="690" customFormat="1" ht="34.5" customHeight="1" x14ac:dyDescent="0.25">
      <c r="A12" s="682"/>
      <c r="B12" s="683"/>
      <c r="C12" s="684" t="s">
        <v>66</v>
      </c>
      <c r="D12" s="685" t="str">
        <f>CAPA!$D$31</f>
        <v>RSC-287 KM 28+000 ao KM+180+000</v>
      </c>
      <c r="E12" s="685"/>
      <c r="F12" s="685"/>
      <c r="G12" s="685"/>
      <c r="H12" s="685"/>
      <c r="I12" s="686"/>
      <c r="J12" s="686"/>
      <c r="K12" s="687"/>
      <c r="L12" s="688" t="s">
        <v>52</v>
      </c>
      <c r="M12" s="689" t="str">
        <f>CAPA!D47</f>
        <v>ABRIL/2022</v>
      </c>
    </row>
    <row r="13" spans="1:13" s="149" customFormat="1" ht="15.75" x14ac:dyDescent="0.25">
      <c r="A13" s="150"/>
      <c r="B13" s="151"/>
      <c r="C13" s="152"/>
      <c r="D13" s="153"/>
      <c r="E13" s="153"/>
      <c r="F13" s="153"/>
      <c r="G13" s="153"/>
      <c r="H13" s="153"/>
      <c r="I13" s="265"/>
      <c r="J13" s="265"/>
      <c r="K13" s="248"/>
      <c r="L13" s="253" t="s">
        <v>79</v>
      </c>
      <c r="M13" s="143" t="s">
        <v>1704</v>
      </c>
    </row>
    <row r="14" spans="1:13" s="149" customFormat="1" ht="15.75" x14ac:dyDescent="0.25">
      <c r="A14" s="150"/>
      <c r="B14" s="151"/>
      <c r="C14" s="152" t="s">
        <v>69</v>
      </c>
      <c r="D14" s="155" t="str">
        <f>CAPA!$B$20</f>
        <v>Aumento de patologias entre a data da proposta
e a assunção da Concessionária</v>
      </c>
      <c r="E14" s="155"/>
      <c r="F14" s="155"/>
      <c r="G14" s="155"/>
      <c r="H14" s="155"/>
      <c r="I14" s="265"/>
      <c r="J14" s="265"/>
      <c r="K14" s="248"/>
      <c r="L14" s="253" t="s">
        <v>23</v>
      </c>
      <c r="M14" s="158">
        <f>BDI!I36</f>
        <v>0.2676</v>
      </c>
    </row>
    <row r="15" spans="1:13" s="149" customFormat="1" ht="15.75" x14ac:dyDescent="0.25">
      <c r="A15" s="150"/>
      <c r="B15" s="156"/>
      <c r="C15" s="237"/>
      <c r="D15" s="157"/>
      <c r="E15" s="157"/>
      <c r="F15" s="157"/>
      <c r="G15" s="157"/>
      <c r="H15" s="157"/>
      <c r="I15" s="263"/>
      <c r="J15" s="263"/>
      <c r="K15" s="243"/>
      <c r="L15" s="247"/>
      <c r="M15" s="159"/>
    </row>
    <row r="17" spans="5:36" ht="15.75" x14ac:dyDescent="0.25">
      <c r="E17" s="388" t="s">
        <v>95</v>
      </c>
      <c r="F17" s="389"/>
      <c r="G17" s="389"/>
      <c r="H17" s="389"/>
      <c r="I17" s="389"/>
      <c r="J17" s="389"/>
      <c r="K17" s="389"/>
      <c r="L17" s="389"/>
      <c r="M17" s="390"/>
      <c r="V17" s="457"/>
      <c r="W17" s="457"/>
      <c r="X17" s="457"/>
      <c r="Y17" s="457"/>
      <c r="Z17" s="457"/>
      <c r="AA17" s="457"/>
      <c r="AB17" s="457">
        <v>2020</v>
      </c>
      <c r="AC17" s="457">
        <v>2021</v>
      </c>
      <c r="AD17" s="457">
        <v>2022</v>
      </c>
      <c r="AE17" s="457">
        <v>2023</v>
      </c>
      <c r="AF17" s="457">
        <v>2024</v>
      </c>
      <c r="AG17" s="457">
        <v>2025</v>
      </c>
      <c r="AH17" s="458"/>
      <c r="AI17" s="458"/>
      <c r="AJ17" s="458"/>
    </row>
    <row r="18" spans="5:36" ht="15.75" x14ac:dyDescent="0.25">
      <c r="E18" s="391" t="s">
        <v>106</v>
      </c>
      <c r="F18" s="392"/>
      <c r="G18" s="393" t="s">
        <v>96</v>
      </c>
      <c r="H18" s="393" t="s">
        <v>97</v>
      </c>
      <c r="I18" s="393" t="s">
        <v>107</v>
      </c>
      <c r="J18" s="393" t="s">
        <v>98</v>
      </c>
      <c r="K18" s="393" t="s">
        <v>99</v>
      </c>
      <c r="L18" s="394" t="s">
        <v>109</v>
      </c>
      <c r="M18" s="394" t="s">
        <v>100</v>
      </c>
      <c r="V18" s="459">
        <v>1</v>
      </c>
      <c r="W18" s="460" t="s">
        <v>215</v>
      </c>
      <c r="X18" s="461" t="s">
        <v>216</v>
      </c>
      <c r="Y18" s="462">
        <v>28</v>
      </c>
      <c r="Z18" s="463">
        <v>28.5</v>
      </c>
      <c r="AA18" s="463">
        <f>Z18-Y18</f>
        <v>0.5</v>
      </c>
      <c r="AB18" s="464">
        <v>8552</v>
      </c>
      <c r="AC18" s="464">
        <v>9468</v>
      </c>
      <c r="AD18" s="465">
        <v>9333</v>
      </c>
      <c r="AE18" s="464">
        <v>9883</v>
      </c>
      <c r="AF18" s="464">
        <v>10692</v>
      </c>
      <c r="AG18" s="464">
        <v>14760</v>
      </c>
      <c r="AH18" s="458"/>
      <c r="AI18" s="466">
        <f>AA18/$AA$47</f>
        <v>3.2722513089005231E-3</v>
      </c>
      <c r="AJ18" s="467">
        <f>AI18*AD18</f>
        <v>30.539921465968582</v>
      </c>
    </row>
    <row r="19" spans="5:36" x14ac:dyDescent="0.25">
      <c r="E19" s="440" t="s">
        <v>108</v>
      </c>
      <c r="F19" s="442"/>
      <c r="G19" s="454">
        <v>28</v>
      </c>
      <c r="H19" s="454">
        <v>180</v>
      </c>
      <c r="I19" s="454">
        <f>IF(E19&lt;&gt;"",H19-G19,"")</f>
        <v>152</v>
      </c>
      <c r="J19" s="455">
        <f>AJ41</f>
        <v>9044.3481675392668</v>
      </c>
      <c r="K19" s="456">
        <f>IF(E19&lt;&gt;"",IF(J19&gt;11000,0.15,IF(J19&gt;=2000,(((J19-2000)/600))/100,0)),"")</f>
        <v>0.1174058027923211</v>
      </c>
      <c r="L19" s="448">
        <v>1</v>
      </c>
      <c r="M19" s="449">
        <f>IF(E19&lt;&gt;"",L19*K19,"")</f>
        <v>0.1174058027923211</v>
      </c>
      <c r="V19" s="459">
        <v>2</v>
      </c>
      <c r="W19" s="460" t="s">
        <v>215</v>
      </c>
      <c r="X19" s="468" t="s">
        <v>217</v>
      </c>
      <c r="Y19" s="462">
        <v>28.5</v>
      </c>
      <c r="Z19" s="463">
        <v>30</v>
      </c>
      <c r="AA19" s="463">
        <f t="shared" ref="AA19:AA46" si="0">Z19-Y19</f>
        <v>1.5</v>
      </c>
      <c r="AB19" s="464">
        <v>8552</v>
      </c>
      <c r="AC19" s="464">
        <v>9468</v>
      </c>
      <c r="AD19" s="465">
        <v>9333</v>
      </c>
      <c r="AE19" s="464">
        <v>9883</v>
      </c>
      <c r="AF19" s="464">
        <v>10692</v>
      </c>
      <c r="AG19" s="464">
        <v>14760</v>
      </c>
      <c r="AH19" s="458"/>
      <c r="AI19" s="466">
        <f t="shared" ref="AI19:AI40" si="1">AA19/$AA$47</f>
        <v>9.8167539267015706E-3</v>
      </c>
      <c r="AJ19" s="467">
        <f t="shared" ref="AJ19:AJ40" si="2">AI19*AD19</f>
        <v>91.619764397905755</v>
      </c>
    </row>
    <row r="20" spans="5:36" x14ac:dyDescent="0.25">
      <c r="E20" s="395"/>
      <c r="F20" s="396"/>
      <c r="G20" s="397"/>
      <c r="H20" s="397"/>
      <c r="I20" s="397"/>
      <c r="J20" s="398"/>
      <c r="K20" s="399"/>
      <c r="L20" s="400"/>
      <c r="M20" s="401"/>
      <c r="V20" s="459">
        <v>3</v>
      </c>
      <c r="W20" s="460" t="s">
        <v>215</v>
      </c>
      <c r="X20" s="461" t="s">
        <v>216</v>
      </c>
      <c r="Y20" s="462">
        <v>30</v>
      </c>
      <c r="Z20" s="463">
        <v>36.799999999999997</v>
      </c>
      <c r="AA20" s="463">
        <f t="shared" si="0"/>
        <v>6.7999999999999972</v>
      </c>
      <c r="AB20" s="464">
        <v>8552</v>
      </c>
      <c r="AC20" s="464">
        <v>9468</v>
      </c>
      <c r="AD20" s="465">
        <v>9333</v>
      </c>
      <c r="AE20" s="464">
        <v>9883</v>
      </c>
      <c r="AF20" s="464">
        <v>10692</v>
      </c>
      <c r="AG20" s="464">
        <v>14760</v>
      </c>
      <c r="AH20" s="458"/>
      <c r="AI20" s="466">
        <f t="shared" si="1"/>
        <v>4.4502617801047098E-2</v>
      </c>
      <c r="AJ20" s="467">
        <f t="shared" si="2"/>
        <v>415.34293193717258</v>
      </c>
    </row>
    <row r="21" spans="5:36" x14ac:dyDescent="0.25">
      <c r="E21" s="395"/>
      <c r="F21" s="396"/>
      <c r="G21" s="397"/>
      <c r="H21" s="397"/>
      <c r="I21" s="397"/>
      <c r="J21" s="398"/>
      <c r="K21" s="399"/>
      <c r="L21" s="400"/>
      <c r="M21" s="401"/>
      <c r="V21" s="459">
        <v>4</v>
      </c>
      <c r="W21" s="460" t="s">
        <v>218</v>
      </c>
      <c r="X21" s="461" t="s">
        <v>219</v>
      </c>
      <c r="Y21" s="462">
        <v>36.799999999999997</v>
      </c>
      <c r="Z21" s="463">
        <v>54.7</v>
      </c>
      <c r="AA21" s="463">
        <f t="shared" si="0"/>
        <v>17.900000000000006</v>
      </c>
      <c r="AB21" s="464">
        <v>5801</v>
      </c>
      <c r="AC21" s="464">
        <v>6419</v>
      </c>
      <c r="AD21" s="465">
        <v>6327</v>
      </c>
      <c r="AE21" s="464">
        <v>6695</v>
      </c>
      <c r="AF21" s="464">
        <v>7252</v>
      </c>
      <c r="AG21" s="464">
        <v>10063</v>
      </c>
      <c r="AH21" s="458"/>
      <c r="AI21" s="466">
        <f t="shared" si="1"/>
        <v>0.11714659685863878</v>
      </c>
      <c r="AJ21" s="467">
        <f t="shared" si="2"/>
        <v>741.1865183246075</v>
      </c>
    </row>
    <row r="22" spans="5:36" x14ac:dyDescent="0.25">
      <c r="E22" s="395"/>
      <c r="F22" s="396"/>
      <c r="G22" s="397"/>
      <c r="H22" s="397"/>
      <c r="I22" s="397" t="str">
        <f t="shared" ref="I22:I26" si="3">IF(E22&lt;&gt;"",H22-G22,"")</f>
        <v/>
      </c>
      <c r="J22" s="398"/>
      <c r="K22" s="399" t="str">
        <f>IF(E22&lt;&gt;"",IF(J22&gt;11000,0.15,IF(J22&gt;=2000,(((J22-2000)/600))/100,0)),"")</f>
        <v/>
      </c>
      <c r="L22" s="400" t="str">
        <f>IF(E22&lt;&gt;"",I22/$U$24,"")</f>
        <v/>
      </c>
      <c r="M22" s="401" t="str">
        <f>IF(E22&lt;&gt;"",L22*K22,"")</f>
        <v/>
      </c>
      <c r="V22" s="459">
        <v>5</v>
      </c>
      <c r="W22" s="460" t="s">
        <v>218</v>
      </c>
      <c r="X22" s="461" t="s">
        <v>219</v>
      </c>
      <c r="Y22" s="462">
        <v>54.7</v>
      </c>
      <c r="Z22" s="463">
        <v>55.5</v>
      </c>
      <c r="AA22" s="463">
        <f t="shared" si="0"/>
        <v>0.79999999999999716</v>
      </c>
      <c r="AB22" s="464">
        <v>5801</v>
      </c>
      <c r="AC22" s="464">
        <v>6419</v>
      </c>
      <c r="AD22" s="465">
        <v>6327</v>
      </c>
      <c r="AE22" s="464">
        <v>6695</v>
      </c>
      <c r="AF22" s="464">
        <v>7252</v>
      </c>
      <c r="AG22" s="464">
        <v>10063</v>
      </c>
      <c r="AH22" s="458"/>
      <c r="AI22" s="466">
        <f t="shared" si="1"/>
        <v>5.2356020942408189E-3</v>
      </c>
      <c r="AJ22" s="467">
        <f t="shared" si="2"/>
        <v>33.125654450261663</v>
      </c>
    </row>
    <row r="23" spans="5:36" x14ac:dyDescent="0.25">
      <c r="E23" s="395"/>
      <c r="F23" s="396"/>
      <c r="G23" s="397"/>
      <c r="H23" s="397"/>
      <c r="I23" s="397" t="str">
        <f t="shared" si="3"/>
        <v/>
      </c>
      <c r="J23" s="398"/>
      <c r="K23" s="402" t="str">
        <f>IF(E23&lt;&gt;"",IF($V$16&gt;11000,0.15,IF($V$16&gt;=2000,((($V$16-2000)/600))/100,0)),"")</f>
        <v/>
      </c>
      <c r="L23" s="403" t="str">
        <f>IF(E23&lt;&gt;"",I23/$U$24,"")</f>
        <v/>
      </c>
      <c r="M23" s="401" t="str">
        <f>IF(E23&lt;&gt;"",L23*K23,"")</f>
        <v/>
      </c>
      <c r="V23" s="459">
        <v>6</v>
      </c>
      <c r="W23" s="460" t="s">
        <v>220</v>
      </c>
      <c r="X23" s="461" t="s">
        <v>221</v>
      </c>
      <c r="Y23" s="462">
        <v>55.5</v>
      </c>
      <c r="Z23" s="463">
        <v>78.5</v>
      </c>
      <c r="AA23" s="463">
        <f t="shared" si="0"/>
        <v>23</v>
      </c>
      <c r="AB23" s="464">
        <v>7733</v>
      </c>
      <c r="AC23" s="464">
        <v>8562</v>
      </c>
      <c r="AD23" s="465">
        <v>8435</v>
      </c>
      <c r="AE23" s="464">
        <v>8931</v>
      </c>
      <c r="AF23" s="464">
        <v>9669</v>
      </c>
      <c r="AG23" s="464">
        <v>13351</v>
      </c>
      <c r="AH23" s="458"/>
      <c r="AI23" s="466">
        <f t="shared" si="1"/>
        <v>0.15052356020942406</v>
      </c>
      <c r="AJ23" s="467">
        <f t="shared" si="2"/>
        <v>1269.6662303664921</v>
      </c>
    </row>
    <row r="24" spans="5:36" x14ac:dyDescent="0.25">
      <c r="E24" s="395"/>
      <c r="F24" s="396"/>
      <c r="G24" s="397"/>
      <c r="H24" s="397"/>
      <c r="I24" s="397" t="str">
        <f t="shared" si="3"/>
        <v/>
      </c>
      <c r="J24" s="398"/>
      <c r="K24" s="402" t="str">
        <f>IF(E24&lt;&gt;"",IF($V$16&gt;11000,0.15,IF($V$16&gt;=2000,((($V$16-2000)/600))/100,0)),"")</f>
        <v/>
      </c>
      <c r="L24" s="403" t="str">
        <f>IF(E24&lt;&gt;"",I24/$U$24,"")</f>
        <v/>
      </c>
      <c r="M24" s="401" t="str">
        <f>IF(E24&lt;&gt;"",L24*K24,"")</f>
        <v/>
      </c>
      <c r="V24" s="459">
        <v>7</v>
      </c>
      <c r="W24" s="460" t="s">
        <v>222</v>
      </c>
      <c r="X24" s="461" t="s">
        <v>223</v>
      </c>
      <c r="Y24" s="462">
        <v>78.5</v>
      </c>
      <c r="Z24" s="463">
        <v>91.4</v>
      </c>
      <c r="AA24" s="463">
        <f t="shared" si="0"/>
        <v>12.900000000000006</v>
      </c>
      <c r="AB24" s="464">
        <v>10659</v>
      </c>
      <c r="AC24" s="464">
        <v>11881</v>
      </c>
      <c r="AD24" s="465">
        <v>12278</v>
      </c>
      <c r="AE24" s="464">
        <v>12930</v>
      </c>
      <c r="AF24" s="464">
        <v>13901</v>
      </c>
      <c r="AG24" s="464">
        <v>17383</v>
      </c>
      <c r="AH24" s="458"/>
      <c r="AI24" s="466">
        <f t="shared" si="1"/>
        <v>8.4424083769633534E-2</v>
      </c>
      <c r="AJ24" s="467">
        <f t="shared" si="2"/>
        <v>1036.5589005235606</v>
      </c>
    </row>
    <row r="25" spans="5:36" x14ac:dyDescent="0.25">
      <c r="E25" s="395"/>
      <c r="F25" s="396"/>
      <c r="G25" s="397"/>
      <c r="H25" s="397"/>
      <c r="I25" s="397" t="str">
        <f t="shared" si="3"/>
        <v/>
      </c>
      <c r="J25" s="398"/>
      <c r="K25" s="402" t="str">
        <f>IF(E25&lt;&gt;"",IF($V$16&gt;11000,0.15,IF($V$16&gt;=2000,((($V$16-2000)/600))/100,0)),"")</f>
        <v/>
      </c>
      <c r="L25" s="403" t="str">
        <f>IF(E25&lt;&gt;"",I25/$U$24,"")</f>
        <v/>
      </c>
      <c r="M25" s="401" t="str">
        <f>IF(E25&lt;&gt;"",L25*K25,"")</f>
        <v/>
      </c>
      <c r="V25" s="459">
        <v>8</v>
      </c>
      <c r="W25" s="460" t="s">
        <v>224</v>
      </c>
      <c r="X25" s="461" t="s">
        <v>225</v>
      </c>
      <c r="Y25" s="462">
        <v>91.4</v>
      </c>
      <c r="Z25" s="463">
        <v>97.7</v>
      </c>
      <c r="AA25" s="463">
        <f t="shared" si="0"/>
        <v>6.2999999999999972</v>
      </c>
      <c r="AB25" s="464">
        <v>13961</v>
      </c>
      <c r="AC25" s="464">
        <v>15602</v>
      </c>
      <c r="AD25" s="465">
        <v>16145</v>
      </c>
      <c r="AE25" s="464">
        <v>17007</v>
      </c>
      <c r="AF25" s="464">
        <v>18269</v>
      </c>
      <c r="AG25" s="464">
        <v>22800</v>
      </c>
      <c r="AH25" s="458"/>
      <c r="AI25" s="466">
        <f t="shared" si="1"/>
        <v>4.1230366492146578E-2</v>
      </c>
      <c r="AJ25" s="467">
        <f t="shared" si="2"/>
        <v>665.66426701570651</v>
      </c>
    </row>
    <row r="26" spans="5:36" x14ac:dyDescent="0.25">
      <c r="E26" s="404"/>
      <c r="F26" s="405"/>
      <c r="G26" s="406"/>
      <c r="H26" s="406"/>
      <c r="I26" s="406" t="str">
        <f t="shared" si="3"/>
        <v/>
      </c>
      <c r="J26" s="407"/>
      <c r="K26" s="408" t="str">
        <f>IF(E26&lt;&gt;"",IF($V$16&gt;11000,0.15,IF($V$16&gt;=2000,((($V$16-2000)/600))/100,0)),"")</f>
        <v/>
      </c>
      <c r="L26" s="409" t="str">
        <f>IF(E26&lt;&gt;"",I26/$U$24,"")</f>
        <v/>
      </c>
      <c r="M26" s="410" t="str">
        <f>IF(E26&lt;&gt;"",L26*K26,"")</f>
        <v/>
      </c>
      <c r="V26" s="459">
        <v>9</v>
      </c>
      <c r="W26" s="460" t="s">
        <v>224</v>
      </c>
      <c r="X26" s="468" t="s">
        <v>226</v>
      </c>
      <c r="Y26" s="462">
        <v>97.7</v>
      </c>
      <c r="Z26" s="463">
        <v>102</v>
      </c>
      <c r="AA26" s="463">
        <f t="shared" si="0"/>
        <v>4.2999999999999972</v>
      </c>
      <c r="AB26" s="464">
        <v>13961</v>
      </c>
      <c r="AC26" s="464">
        <v>15602</v>
      </c>
      <c r="AD26" s="465">
        <v>16145</v>
      </c>
      <c r="AE26" s="464">
        <v>17007</v>
      </c>
      <c r="AF26" s="464">
        <v>18269</v>
      </c>
      <c r="AG26" s="464">
        <v>22800</v>
      </c>
      <c r="AH26" s="458"/>
      <c r="AI26" s="466">
        <f t="shared" si="1"/>
        <v>2.814136125654448E-2</v>
      </c>
      <c r="AJ26" s="467">
        <f t="shared" si="2"/>
        <v>454.34227748691063</v>
      </c>
    </row>
    <row r="27" spans="5:36" ht="15.75" x14ac:dyDescent="0.25">
      <c r="E27" s="411" t="s">
        <v>48</v>
      </c>
      <c r="F27" s="412"/>
      <c r="G27" s="412"/>
      <c r="H27" s="413"/>
      <c r="I27" s="414"/>
      <c r="J27" s="415"/>
      <c r="K27" s="416"/>
      <c r="L27" s="417">
        <f>SUM(L19:L26)</f>
        <v>1</v>
      </c>
      <c r="M27" s="418">
        <f>ROUND(SUM(M19:M26),4)</f>
        <v>0.1174</v>
      </c>
      <c r="V27" s="459">
        <v>10</v>
      </c>
      <c r="W27" s="460" t="s">
        <v>224</v>
      </c>
      <c r="X27" s="468" t="s">
        <v>226</v>
      </c>
      <c r="Y27" s="462">
        <v>102</v>
      </c>
      <c r="Z27" s="463">
        <v>104.2</v>
      </c>
      <c r="AA27" s="463">
        <f t="shared" si="0"/>
        <v>2.2000000000000028</v>
      </c>
      <c r="AB27" s="464">
        <v>13961</v>
      </c>
      <c r="AC27" s="464">
        <v>15602</v>
      </c>
      <c r="AD27" s="465">
        <v>16145</v>
      </c>
      <c r="AE27" s="464">
        <v>17007</v>
      </c>
      <c r="AF27" s="464">
        <v>18269</v>
      </c>
      <c r="AG27" s="464">
        <v>22800</v>
      </c>
      <c r="AH27" s="458"/>
      <c r="AI27" s="466">
        <f t="shared" si="1"/>
        <v>1.4397905759162321E-2</v>
      </c>
      <c r="AJ27" s="467">
        <f t="shared" si="2"/>
        <v>232.45418848167566</v>
      </c>
    </row>
    <row r="28" spans="5:36" x14ac:dyDescent="0.2">
      <c r="E28" s="419"/>
      <c r="F28" s="419"/>
      <c r="G28" s="419"/>
      <c r="H28" s="419"/>
      <c r="I28" s="419"/>
      <c r="J28" s="419"/>
      <c r="K28" s="419"/>
      <c r="L28" s="419"/>
      <c r="M28" s="419"/>
      <c r="V28" s="459">
        <v>11</v>
      </c>
      <c r="W28" s="460" t="s">
        <v>227</v>
      </c>
      <c r="X28" s="468" t="s">
        <v>226</v>
      </c>
      <c r="Y28" s="462">
        <v>104.2</v>
      </c>
      <c r="Z28" s="463">
        <v>104.7</v>
      </c>
      <c r="AA28" s="463">
        <f t="shared" si="0"/>
        <v>0.5</v>
      </c>
      <c r="AB28" s="464">
        <v>12822</v>
      </c>
      <c r="AC28" s="464">
        <v>14307</v>
      </c>
      <c r="AD28" s="465">
        <v>14799</v>
      </c>
      <c r="AE28" s="464">
        <v>15586</v>
      </c>
      <c r="AF28" s="464">
        <v>16744</v>
      </c>
      <c r="AG28" s="464">
        <v>20940</v>
      </c>
      <c r="AH28" s="458"/>
      <c r="AI28" s="466">
        <f t="shared" si="1"/>
        <v>3.2722513089005231E-3</v>
      </c>
      <c r="AJ28" s="467">
        <f t="shared" si="2"/>
        <v>48.426047120418843</v>
      </c>
    </row>
    <row r="29" spans="5:36" ht="15.75" x14ac:dyDescent="0.25">
      <c r="E29" s="420" t="s">
        <v>101</v>
      </c>
      <c r="F29" s="421"/>
      <c r="G29" s="421"/>
      <c r="H29" s="421"/>
      <c r="I29" s="421"/>
      <c r="J29" s="421"/>
      <c r="K29" s="421"/>
      <c r="L29" s="421"/>
      <c r="M29" s="422"/>
      <c r="V29" s="459">
        <v>12</v>
      </c>
      <c r="W29" s="460" t="s">
        <v>228</v>
      </c>
      <c r="X29" s="461" t="s">
        <v>229</v>
      </c>
      <c r="Y29" s="462">
        <v>104.7</v>
      </c>
      <c r="Z29" s="463">
        <v>115.7</v>
      </c>
      <c r="AA29" s="463">
        <f t="shared" si="0"/>
        <v>11</v>
      </c>
      <c r="AB29" s="464">
        <v>10206</v>
      </c>
      <c r="AC29" s="464">
        <v>11677</v>
      </c>
      <c r="AD29" s="465">
        <v>12156</v>
      </c>
      <c r="AE29" s="464">
        <v>12756</v>
      </c>
      <c r="AF29" s="464">
        <v>13502</v>
      </c>
      <c r="AG29" s="464">
        <v>18180</v>
      </c>
      <c r="AH29" s="458"/>
      <c r="AI29" s="466">
        <f t="shared" si="1"/>
        <v>7.1989528795811511E-2</v>
      </c>
      <c r="AJ29" s="467">
        <f t="shared" si="2"/>
        <v>875.10471204188468</v>
      </c>
    </row>
    <row r="30" spans="5:36" ht="15.75" x14ac:dyDescent="0.25">
      <c r="E30" s="391" t="s">
        <v>102</v>
      </c>
      <c r="F30" s="423"/>
      <c r="G30" s="423"/>
      <c r="H30" s="423"/>
      <c r="I30" s="392"/>
      <c r="J30" s="393" t="s">
        <v>107</v>
      </c>
      <c r="K30" s="424" t="s">
        <v>99</v>
      </c>
      <c r="L30" s="425" t="s">
        <v>103</v>
      </c>
      <c r="M30" s="425" t="s">
        <v>100</v>
      </c>
      <c r="V30" s="459">
        <v>13</v>
      </c>
      <c r="W30" s="460" t="s">
        <v>230</v>
      </c>
      <c r="X30" s="461" t="s">
        <v>231</v>
      </c>
      <c r="Y30" s="462">
        <v>115.7</v>
      </c>
      <c r="Z30" s="463">
        <v>116.7</v>
      </c>
      <c r="AA30" s="463">
        <f t="shared" si="0"/>
        <v>1</v>
      </c>
      <c r="AB30" s="464">
        <v>8284</v>
      </c>
      <c r="AC30" s="464">
        <v>9479</v>
      </c>
      <c r="AD30" s="465">
        <v>9869</v>
      </c>
      <c r="AE30" s="464">
        <v>10356</v>
      </c>
      <c r="AF30" s="464">
        <v>10962</v>
      </c>
      <c r="AG30" s="464">
        <v>14772</v>
      </c>
      <c r="AH30" s="458"/>
      <c r="AI30" s="466">
        <f t="shared" si="1"/>
        <v>6.5445026178010462E-3</v>
      </c>
      <c r="AJ30" s="467">
        <f t="shared" si="2"/>
        <v>64.587696335078519</v>
      </c>
    </row>
    <row r="31" spans="5:36" x14ac:dyDescent="0.2">
      <c r="E31" s="440" t="s">
        <v>205</v>
      </c>
      <c r="F31" s="441"/>
      <c r="G31" s="442">
        <v>28.03</v>
      </c>
      <c r="H31" s="442">
        <v>36.271999999999998</v>
      </c>
      <c r="I31" s="446"/>
      <c r="J31" s="447">
        <f>H31-G31</f>
        <v>8.2419999999999973</v>
      </c>
      <c r="K31" s="448">
        <f>IF(E31&lt;&gt;"",5%,"")</f>
        <v>0.05</v>
      </c>
      <c r="L31" s="448">
        <f>J31/$I$19</f>
        <v>5.4223684210526299E-2</v>
      </c>
      <c r="M31" s="449">
        <f>IF(E31&lt;&gt;"",ROUND(K31*L31,4),"")</f>
        <v>2.7000000000000001E-3</v>
      </c>
      <c r="V31" s="459">
        <v>14</v>
      </c>
      <c r="W31" s="460" t="s">
        <v>232</v>
      </c>
      <c r="X31" s="461" t="s">
        <v>231</v>
      </c>
      <c r="Y31" s="462">
        <v>116.7</v>
      </c>
      <c r="Z31" s="463">
        <v>137.6</v>
      </c>
      <c r="AA31" s="463">
        <f t="shared" si="0"/>
        <v>20.899999999999991</v>
      </c>
      <c r="AB31" s="464">
        <v>7418</v>
      </c>
      <c r="AC31" s="464">
        <v>8468</v>
      </c>
      <c r="AD31" s="465">
        <v>8806</v>
      </c>
      <c r="AE31" s="464">
        <v>9241</v>
      </c>
      <c r="AF31" s="464">
        <v>9780</v>
      </c>
      <c r="AG31" s="464">
        <v>13251</v>
      </c>
      <c r="AH31" s="458"/>
      <c r="AI31" s="466">
        <f t="shared" si="1"/>
        <v>0.13678010471204183</v>
      </c>
      <c r="AJ31" s="467">
        <f t="shared" si="2"/>
        <v>1204.4856020942404</v>
      </c>
    </row>
    <row r="32" spans="5:36" x14ac:dyDescent="0.2">
      <c r="E32" s="443" t="s">
        <v>206</v>
      </c>
      <c r="F32" s="444"/>
      <c r="G32" s="445">
        <v>36.271999999999998</v>
      </c>
      <c r="H32" s="445">
        <v>51.255000000000003</v>
      </c>
      <c r="I32" s="450"/>
      <c r="J32" s="451">
        <v>0</v>
      </c>
      <c r="K32" s="452">
        <f t="shared" ref="K32:K40" si="4">IF(E32&lt;&gt;"",5%,"")</f>
        <v>0.05</v>
      </c>
      <c r="L32" s="452">
        <f t="shared" ref="L32:L40" si="5">J32/$I$19</f>
        <v>0</v>
      </c>
      <c r="M32" s="453">
        <f t="shared" ref="M32:M40" si="6">IF(E32&lt;&gt;"",ROUND(K32*L32,4),"")</f>
        <v>0</v>
      </c>
      <c r="V32" s="459">
        <v>15</v>
      </c>
      <c r="W32" s="460" t="s">
        <v>232</v>
      </c>
      <c r="X32" s="468" t="s">
        <v>233</v>
      </c>
      <c r="Y32" s="462">
        <v>137.6</v>
      </c>
      <c r="Z32" s="463">
        <v>138.6</v>
      </c>
      <c r="AA32" s="463">
        <f t="shared" si="0"/>
        <v>1</v>
      </c>
      <c r="AB32" s="464">
        <v>7418</v>
      </c>
      <c r="AC32" s="464">
        <v>8468</v>
      </c>
      <c r="AD32" s="465">
        <v>8806</v>
      </c>
      <c r="AE32" s="464">
        <v>9241</v>
      </c>
      <c r="AF32" s="464">
        <v>9780</v>
      </c>
      <c r="AG32" s="464">
        <v>13251</v>
      </c>
      <c r="AH32" s="458"/>
      <c r="AI32" s="466">
        <f t="shared" si="1"/>
        <v>6.5445026178010462E-3</v>
      </c>
      <c r="AJ32" s="467">
        <f t="shared" si="2"/>
        <v>57.630890052356015</v>
      </c>
    </row>
    <row r="33" spans="5:36" x14ac:dyDescent="0.2">
      <c r="E33" s="443" t="s">
        <v>207</v>
      </c>
      <c r="F33" s="444"/>
      <c r="G33" s="445">
        <v>51.255000000000003</v>
      </c>
      <c r="H33" s="445">
        <v>55.183999999999997</v>
      </c>
      <c r="I33" s="419"/>
      <c r="J33" s="451">
        <v>0</v>
      </c>
      <c r="K33" s="452">
        <f t="shared" si="4"/>
        <v>0.05</v>
      </c>
      <c r="L33" s="452">
        <f t="shared" si="5"/>
        <v>0</v>
      </c>
      <c r="M33" s="453">
        <f t="shared" si="6"/>
        <v>0</v>
      </c>
      <c r="V33" s="459">
        <v>16</v>
      </c>
      <c r="W33" s="460" t="s">
        <v>234</v>
      </c>
      <c r="X33" s="468" t="s">
        <v>233</v>
      </c>
      <c r="Y33" s="462">
        <v>138.6</v>
      </c>
      <c r="Z33" s="463">
        <v>140.1</v>
      </c>
      <c r="AA33" s="463">
        <f t="shared" si="0"/>
        <v>1.5</v>
      </c>
      <c r="AB33" s="464">
        <v>6171</v>
      </c>
      <c r="AC33" s="464">
        <v>7044</v>
      </c>
      <c r="AD33" s="465">
        <v>7328</v>
      </c>
      <c r="AE33" s="464">
        <v>7690</v>
      </c>
      <c r="AF33" s="464">
        <v>8138</v>
      </c>
      <c r="AG33" s="464">
        <v>11046</v>
      </c>
      <c r="AH33" s="458"/>
      <c r="AI33" s="466">
        <f t="shared" si="1"/>
        <v>9.8167539267015706E-3</v>
      </c>
      <c r="AJ33" s="467">
        <f t="shared" si="2"/>
        <v>71.937172774869111</v>
      </c>
    </row>
    <row r="34" spans="5:36" x14ac:dyDescent="0.2">
      <c r="E34" s="443" t="s">
        <v>208</v>
      </c>
      <c r="F34" s="444"/>
      <c r="G34" s="445">
        <v>55.183999999999997</v>
      </c>
      <c r="H34" s="445">
        <v>88.882000000000005</v>
      </c>
      <c r="I34" s="419"/>
      <c r="J34" s="451">
        <v>11.84</v>
      </c>
      <c r="K34" s="452">
        <f t="shared" si="4"/>
        <v>0.05</v>
      </c>
      <c r="L34" s="452">
        <f t="shared" si="5"/>
        <v>7.7894736842105267E-2</v>
      </c>
      <c r="M34" s="453">
        <f t="shared" si="6"/>
        <v>3.8999999999999998E-3</v>
      </c>
      <c r="V34" s="459">
        <v>17</v>
      </c>
      <c r="W34" s="460" t="s">
        <v>234</v>
      </c>
      <c r="X34" s="468" t="s">
        <v>235</v>
      </c>
      <c r="Y34" s="462">
        <v>140.1</v>
      </c>
      <c r="Z34" s="463">
        <v>141.5</v>
      </c>
      <c r="AA34" s="463">
        <f t="shared" si="0"/>
        <v>1.4000000000000057</v>
      </c>
      <c r="AB34" s="464">
        <v>6171</v>
      </c>
      <c r="AC34" s="464">
        <v>7044</v>
      </c>
      <c r="AD34" s="465">
        <v>7328</v>
      </c>
      <c r="AE34" s="464">
        <v>7690</v>
      </c>
      <c r="AF34" s="464">
        <v>8138</v>
      </c>
      <c r="AG34" s="464">
        <v>11046</v>
      </c>
      <c r="AH34" s="458"/>
      <c r="AI34" s="466">
        <f t="shared" si="1"/>
        <v>9.1623036649215017E-3</v>
      </c>
      <c r="AJ34" s="467">
        <f t="shared" si="2"/>
        <v>67.141361256544769</v>
      </c>
    </row>
    <row r="35" spans="5:36" x14ac:dyDescent="0.2">
      <c r="E35" s="443" t="s">
        <v>209</v>
      </c>
      <c r="F35" s="444"/>
      <c r="G35" s="445">
        <v>88.882000000000005</v>
      </c>
      <c r="H35" s="445">
        <v>106.614</v>
      </c>
      <c r="I35" s="419"/>
      <c r="J35" s="451">
        <f>H35-G35</f>
        <v>17.731999999999999</v>
      </c>
      <c r="K35" s="452">
        <f t="shared" si="4"/>
        <v>0.05</v>
      </c>
      <c r="L35" s="452">
        <f t="shared" si="5"/>
        <v>0.1166578947368421</v>
      </c>
      <c r="M35" s="453">
        <f t="shared" si="6"/>
        <v>5.7999999999999996E-3</v>
      </c>
      <c r="V35" s="459">
        <v>18</v>
      </c>
      <c r="W35" s="460" t="s">
        <v>234</v>
      </c>
      <c r="X35" s="461" t="s">
        <v>236</v>
      </c>
      <c r="Y35" s="462">
        <v>141.5</v>
      </c>
      <c r="Z35" s="463">
        <v>156.5</v>
      </c>
      <c r="AA35" s="463">
        <f t="shared" si="0"/>
        <v>15</v>
      </c>
      <c r="AB35" s="464">
        <v>6171</v>
      </c>
      <c r="AC35" s="464">
        <v>7044</v>
      </c>
      <c r="AD35" s="465">
        <v>7328</v>
      </c>
      <c r="AE35" s="464">
        <v>7690</v>
      </c>
      <c r="AF35" s="464">
        <v>8138</v>
      </c>
      <c r="AG35" s="464">
        <v>11046</v>
      </c>
      <c r="AH35" s="458"/>
      <c r="AI35" s="466">
        <f t="shared" si="1"/>
        <v>9.8167539267015699E-2</v>
      </c>
      <c r="AJ35" s="467">
        <f t="shared" si="2"/>
        <v>719.371727748691</v>
      </c>
    </row>
    <row r="36" spans="5:36" x14ac:dyDescent="0.2">
      <c r="E36" s="443" t="s">
        <v>210</v>
      </c>
      <c r="F36" s="444"/>
      <c r="G36" s="445">
        <v>106.614</v>
      </c>
      <c r="H36" s="445">
        <v>120.01300000000001</v>
      </c>
      <c r="I36" s="419"/>
      <c r="J36" s="451">
        <f>H36-G36</f>
        <v>13.399000000000001</v>
      </c>
      <c r="K36" s="452">
        <f t="shared" si="4"/>
        <v>0.05</v>
      </c>
      <c r="L36" s="452">
        <f t="shared" si="5"/>
        <v>8.8151315789473689E-2</v>
      </c>
      <c r="M36" s="453">
        <f t="shared" si="6"/>
        <v>4.4000000000000003E-3</v>
      </c>
      <c r="V36" s="459">
        <v>19</v>
      </c>
      <c r="W36" s="460" t="s">
        <v>234</v>
      </c>
      <c r="X36" s="468" t="s">
        <v>235</v>
      </c>
      <c r="Y36" s="462">
        <v>156.5</v>
      </c>
      <c r="Z36" s="463">
        <v>157.5</v>
      </c>
      <c r="AA36" s="463">
        <f t="shared" si="0"/>
        <v>1</v>
      </c>
      <c r="AB36" s="464">
        <v>6171</v>
      </c>
      <c r="AC36" s="464">
        <v>7044</v>
      </c>
      <c r="AD36" s="465">
        <v>7328</v>
      </c>
      <c r="AE36" s="464">
        <v>7690</v>
      </c>
      <c r="AF36" s="464">
        <v>8138</v>
      </c>
      <c r="AG36" s="464">
        <v>11046</v>
      </c>
      <c r="AH36" s="458"/>
      <c r="AI36" s="466">
        <f t="shared" si="1"/>
        <v>6.5445026178010462E-3</v>
      </c>
      <c r="AJ36" s="467">
        <f t="shared" si="2"/>
        <v>47.958115183246065</v>
      </c>
    </row>
    <row r="37" spans="5:36" x14ac:dyDescent="0.2">
      <c r="E37" s="443" t="s">
        <v>211</v>
      </c>
      <c r="F37" s="444"/>
      <c r="G37" s="445">
        <v>120.01300000000001</v>
      </c>
      <c r="H37" s="445">
        <v>130.88300000000001</v>
      </c>
      <c r="I37" s="419"/>
      <c r="J37" s="451">
        <v>0</v>
      </c>
      <c r="K37" s="452">
        <f t="shared" si="4"/>
        <v>0.05</v>
      </c>
      <c r="L37" s="452">
        <f t="shared" si="5"/>
        <v>0</v>
      </c>
      <c r="M37" s="453">
        <f t="shared" si="6"/>
        <v>0</v>
      </c>
      <c r="V37" s="459">
        <v>20</v>
      </c>
      <c r="W37" s="460" t="s">
        <v>234</v>
      </c>
      <c r="X37" s="461" t="s">
        <v>236</v>
      </c>
      <c r="Y37" s="462">
        <v>157.5</v>
      </c>
      <c r="Z37" s="463">
        <v>158.19999999999999</v>
      </c>
      <c r="AA37" s="463">
        <f t="shared" si="0"/>
        <v>0.69999999999998863</v>
      </c>
      <c r="AB37" s="464">
        <v>6171</v>
      </c>
      <c r="AC37" s="464">
        <v>7044</v>
      </c>
      <c r="AD37" s="465">
        <v>7328</v>
      </c>
      <c r="AE37" s="464">
        <v>7690</v>
      </c>
      <c r="AF37" s="464">
        <v>8138</v>
      </c>
      <c r="AG37" s="464">
        <v>11046</v>
      </c>
      <c r="AH37" s="458"/>
      <c r="AI37" s="466">
        <f t="shared" si="1"/>
        <v>4.581151832460658E-3</v>
      </c>
      <c r="AJ37" s="467">
        <f t="shared" si="2"/>
        <v>33.570680628271703</v>
      </c>
    </row>
    <row r="38" spans="5:36" x14ac:dyDescent="0.2">
      <c r="E38" s="443" t="s">
        <v>212</v>
      </c>
      <c r="F38" s="444"/>
      <c r="G38" s="445">
        <v>130.88300000000001</v>
      </c>
      <c r="H38" s="445">
        <v>154.46799999999999</v>
      </c>
      <c r="I38" s="419"/>
      <c r="J38" s="451">
        <f>(H38-G38)/2</f>
        <v>11.79249999999999</v>
      </c>
      <c r="K38" s="452">
        <f t="shared" si="4"/>
        <v>0.05</v>
      </c>
      <c r="L38" s="452">
        <f t="shared" si="5"/>
        <v>7.758223684210519E-2</v>
      </c>
      <c r="M38" s="453">
        <f t="shared" si="6"/>
        <v>3.8999999999999998E-3</v>
      </c>
      <c r="V38" s="459">
        <v>21</v>
      </c>
      <c r="W38" s="460" t="s">
        <v>237</v>
      </c>
      <c r="X38" s="461" t="s">
        <v>238</v>
      </c>
      <c r="Y38" s="462">
        <v>158.19999999999999</v>
      </c>
      <c r="Z38" s="463">
        <v>176.7</v>
      </c>
      <c r="AA38" s="463">
        <f t="shared" si="0"/>
        <v>18.5</v>
      </c>
      <c r="AB38" s="464">
        <v>5405</v>
      </c>
      <c r="AC38" s="464">
        <v>5880</v>
      </c>
      <c r="AD38" s="465">
        <v>6028</v>
      </c>
      <c r="AE38" s="464">
        <v>6326</v>
      </c>
      <c r="AF38" s="464">
        <v>6712</v>
      </c>
      <c r="AG38" s="464">
        <v>9468</v>
      </c>
      <c r="AH38" s="458"/>
      <c r="AI38" s="466">
        <f t="shared" si="1"/>
        <v>0.12107329842931937</v>
      </c>
      <c r="AJ38" s="467">
        <f t="shared" si="2"/>
        <v>729.82984293193715</v>
      </c>
    </row>
    <row r="39" spans="5:36" x14ac:dyDescent="0.2">
      <c r="E39" s="443" t="s">
        <v>213</v>
      </c>
      <c r="F39" s="444"/>
      <c r="G39" s="445">
        <v>154.46799999999999</v>
      </c>
      <c r="H39" s="445">
        <v>167.83099999999999</v>
      </c>
      <c r="I39" s="419"/>
      <c r="J39" s="451">
        <f>(H39-G39)/2</f>
        <v>6.6814999999999998</v>
      </c>
      <c r="K39" s="452">
        <f t="shared" si="4"/>
        <v>0.05</v>
      </c>
      <c r="L39" s="452">
        <f t="shared" si="5"/>
        <v>4.3957236842105264E-2</v>
      </c>
      <c r="M39" s="453">
        <f t="shared" si="6"/>
        <v>2.2000000000000001E-3</v>
      </c>
      <c r="V39" s="459">
        <v>22</v>
      </c>
      <c r="W39" s="460" t="s">
        <v>239</v>
      </c>
      <c r="X39" s="469" t="s">
        <v>240</v>
      </c>
      <c r="Y39" s="462">
        <v>176.7</v>
      </c>
      <c r="Z39" s="463">
        <v>179.7</v>
      </c>
      <c r="AA39" s="463">
        <f t="shared" si="0"/>
        <v>3</v>
      </c>
      <c r="AB39" s="464">
        <v>5142</v>
      </c>
      <c r="AC39" s="464">
        <v>5595</v>
      </c>
      <c r="AD39" s="465">
        <v>5732</v>
      </c>
      <c r="AE39" s="464">
        <v>6015</v>
      </c>
      <c r="AF39" s="464">
        <v>6382</v>
      </c>
      <c r="AG39" s="464">
        <v>9001</v>
      </c>
      <c r="AH39" s="458"/>
      <c r="AI39" s="466">
        <f t="shared" si="1"/>
        <v>1.9633507853403141E-2</v>
      </c>
      <c r="AJ39" s="467">
        <f t="shared" si="2"/>
        <v>112.53926701570681</v>
      </c>
    </row>
    <row r="40" spans="5:36" x14ac:dyDescent="0.2">
      <c r="E40" s="443" t="s">
        <v>214</v>
      </c>
      <c r="F40" s="444"/>
      <c r="G40" s="445">
        <v>167.83099999999999</v>
      </c>
      <c r="H40" s="445">
        <v>183.53399999999999</v>
      </c>
      <c r="I40" s="419"/>
      <c r="J40" s="451">
        <f>(180-G40)/2</f>
        <v>6.0845000000000056</v>
      </c>
      <c r="K40" s="452">
        <f t="shared" si="4"/>
        <v>0.05</v>
      </c>
      <c r="L40" s="452">
        <f t="shared" si="5"/>
        <v>4.0029605263157929E-2</v>
      </c>
      <c r="M40" s="453">
        <f t="shared" si="6"/>
        <v>2E-3</v>
      </c>
      <c r="V40" s="459">
        <v>23</v>
      </c>
      <c r="W40" s="460" t="s">
        <v>239</v>
      </c>
      <c r="X40" s="468" t="s">
        <v>241</v>
      </c>
      <c r="Y40" s="462">
        <v>179.7</v>
      </c>
      <c r="Z40" s="463">
        <v>180.8</v>
      </c>
      <c r="AA40" s="463">
        <f t="shared" si="0"/>
        <v>1.1000000000000227</v>
      </c>
      <c r="AB40" s="464">
        <v>5142</v>
      </c>
      <c r="AC40" s="464">
        <v>5595</v>
      </c>
      <c r="AD40" s="465">
        <v>5732</v>
      </c>
      <c r="AE40" s="464">
        <v>6015</v>
      </c>
      <c r="AF40" s="464">
        <v>6382</v>
      </c>
      <c r="AG40" s="464">
        <v>9001</v>
      </c>
      <c r="AH40" s="458"/>
      <c r="AI40" s="466">
        <f t="shared" si="1"/>
        <v>7.1989528795812999E-3</v>
      </c>
      <c r="AJ40" s="467">
        <f t="shared" si="2"/>
        <v>41.264397905760013</v>
      </c>
    </row>
    <row r="41" spans="5:36" x14ac:dyDescent="0.2">
      <c r="E41" s="395"/>
      <c r="F41" s="271"/>
      <c r="G41" s="396"/>
      <c r="H41" s="396"/>
      <c r="I41" s="419"/>
      <c r="J41" s="426"/>
      <c r="K41" s="400" t="str">
        <f>IF(E41&lt;&gt;"",5%,"")</f>
        <v/>
      </c>
      <c r="L41" s="400" t="str">
        <f>IF(E41&lt;&gt;"",J41/$U$24,"")</f>
        <v/>
      </c>
      <c r="M41" s="401" t="str">
        <f>IF(E41&lt;&gt;"",ROUND(K41*L41,4),"")</f>
        <v/>
      </c>
      <c r="V41" s="459">
        <v>24</v>
      </c>
      <c r="W41" s="460" t="s">
        <v>239</v>
      </c>
      <c r="X41" s="469" t="s">
        <v>240</v>
      </c>
      <c r="Y41" s="462">
        <v>180.8</v>
      </c>
      <c r="Z41" s="463">
        <v>184.5</v>
      </c>
      <c r="AA41" s="463">
        <f t="shared" si="0"/>
        <v>3.6999999999999886</v>
      </c>
      <c r="AB41" s="464">
        <v>5142</v>
      </c>
      <c r="AC41" s="464">
        <v>5595</v>
      </c>
      <c r="AD41" s="465">
        <v>5732</v>
      </c>
      <c r="AE41" s="464">
        <v>6015</v>
      </c>
      <c r="AF41" s="464">
        <v>6382</v>
      </c>
      <c r="AG41" s="464">
        <v>9001</v>
      </c>
      <c r="AH41" s="458"/>
      <c r="AI41" s="470" t="s">
        <v>242</v>
      </c>
      <c r="AJ41" s="467">
        <f>SUM(AJ18:AJ40)</f>
        <v>9044.3481675392668</v>
      </c>
    </row>
    <row r="42" spans="5:36" x14ac:dyDescent="0.2">
      <c r="E42" s="395"/>
      <c r="F42" s="272"/>
      <c r="G42" s="272"/>
      <c r="H42" s="419"/>
      <c r="I42" s="419"/>
      <c r="J42" s="426"/>
      <c r="K42" s="400" t="str">
        <f>IF(E42&lt;&gt;"",5%,"")</f>
        <v/>
      </c>
      <c r="L42" s="400" t="str">
        <f>IF(E42&lt;&gt;"",J42/$U$24,"")</f>
        <v/>
      </c>
      <c r="M42" s="401" t="str">
        <f>IF(E42&lt;&gt;"",ROUND(K42*L42,4),"")</f>
        <v/>
      </c>
      <c r="V42" s="459">
        <v>25</v>
      </c>
      <c r="W42" s="460" t="s">
        <v>239</v>
      </c>
      <c r="X42" s="469" t="s">
        <v>240</v>
      </c>
      <c r="Y42" s="462">
        <v>184.5</v>
      </c>
      <c r="Z42" s="463">
        <v>187.1</v>
      </c>
      <c r="AA42" s="463">
        <f t="shared" si="0"/>
        <v>2.5999999999999943</v>
      </c>
      <c r="AB42" s="464">
        <v>5142</v>
      </c>
      <c r="AC42" s="464">
        <v>5595</v>
      </c>
      <c r="AD42" s="465">
        <v>5732</v>
      </c>
      <c r="AE42" s="464">
        <v>6015</v>
      </c>
      <c r="AF42" s="464">
        <v>6382</v>
      </c>
      <c r="AG42" s="464">
        <v>9001</v>
      </c>
      <c r="AH42" s="458"/>
      <c r="AI42" s="458"/>
      <c r="AJ42" s="458"/>
    </row>
    <row r="43" spans="5:36" x14ac:dyDescent="0.2">
      <c r="E43" s="404"/>
      <c r="F43" s="273"/>
      <c r="G43" s="273"/>
      <c r="H43" s="427"/>
      <c r="I43" s="427"/>
      <c r="J43" s="428"/>
      <c r="K43" s="429" t="str">
        <f>IF(E43&lt;&gt;"",5%,"")</f>
        <v/>
      </c>
      <c r="L43" s="429" t="str">
        <f>IF(E43&lt;&gt;"",J43/$U$24,"")</f>
        <v/>
      </c>
      <c r="M43" s="410" t="str">
        <f>IF(E43&lt;&gt;"",ROUND(K43*L43,4),"")</f>
        <v/>
      </c>
      <c r="V43" s="459">
        <v>26</v>
      </c>
      <c r="W43" s="460" t="s">
        <v>243</v>
      </c>
      <c r="X43" s="469" t="s">
        <v>240</v>
      </c>
      <c r="Y43" s="462">
        <v>187.1</v>
      </c>
      <c r="Z43" s="463">
        <v>197.2</v>
      </c>
      <c r="AA43" s="463">
        <f t="shared" si="0"/>
        <v>10.099999999999994</v>
      </c>
      <c r="AB43" s="464">
        <v>5237</v>
      </c>
      <c r="AC43" s="464">
        <v>5696</v>
      </c>
      <c r="AD43" s="465">
        <v>5840</v>
      </c>
      <c r="AE43" s="464">
        <v>6128</v>
      </c>
      <c r="AF43" s="464">
        <v>6503</v>
      </c>
      <c r="AG43" s="464">
        <v>9183</v>
      </c>
      <c r="AH43" s="458"/>
      <c r="AI43" s="458"/>
      <c r="AJ43" s="458"/>
    </row>
    <row r="44" spans="5:36" ht="15.75" x14ac:dyDescent="0.25">
      <c r="E44" s="411" t="s">
        <v>48</v>
      </c>
      <c r="F44" s="412"/>
      <c r="G44" s="412"/>
      <c r="H44" s="412"/>
      <c r="I44" s="413"/>
      <c r="J44" s="430"/>
      <c r="K44" s="431"/>
      <c r="L44" s="431"/>
      <c r="M44" s="432">
        <f>SUM(M31:M43)</f>
        <v>2.4899999999999999E-2</v>
      </c>
      <c r="V44" s="459">
        <v>27</v>
      </c>
      <c r="W44" s="460" t="s">
        <v>244</v>
      </c>
      <c r="X44" s="469" t="s">
        <v>245</v>
      </c>
      <c r="Y44" s="462">
        <v>197.2</v>
      </c>
      <c r="Z44" s="463">
        <v>213.2</v>
      </c>
      <c r="AA44" s="463">
        <f t="shared" si="0"/>
        <v>16</v>
      </c>
      <c r="AB44" s="464">
        <v>5478</v>
      </c>
      <c r="AC44" s="464">
        <v>5917</v>
      </c>
      <c r="AD44" s="465">
        <v>6087</v>
      </c>
      <c r="AE44" s="464">
        <v>6381</v>
      </c>
      <c r="AF44" s="464">
        <v>6744</v>
      </c>
      <c r="AG44" s="464">
        <v>8744</v>
      </c>
      <c r="AH44" s="458"/>
      <c r="AI44" s="458"/>
      <c r="AJ44" s="458"/>
    </row>
    <row r="45" spans="5:36" x14ac:dyDescent="0.2">
      <c r="E45" s="433"/>
      <c r="F45" s="433"/>
      <c r="G45" s="433"/>
      <c r="H45" s="433"/>
      <c r="I45" s="433"/>
      <c r="J45" s="433"/>
      <c r="K45" s="433"/>
      <c r="L45" s="433"/>
      <c r="M45" s="434"/>
      <c r="V45" s="459">
        <v>28</v>
      </c>
      <c r="W45" s="460" t="s">
        <v>246</v>
      </c>
      <c r="X45" s="469" t="s">
        <v>245</v>
      </c>
      <c r="Y45" s="462">
        <v>213.2</v>
      </c>
      <c r="Z45" s="463">
        <v>231</v>
      </c>
      <c r="AA45" s="463">
        <f t="shared" si="0"/>
        <v>17.800000000000011</v>
      </c>
      <c r="AB45" s="464">
        <v>7169</v>
      </c>
      <c r="AC45" s="464">
        <v>7741</v>
      </c>
      <c r="AD45" s="465">
        <v>7970</v>
      </c>
      <c r="AE45" s="464">
        <v>8356</v>
      </c>
      <c r="AF45" s="464">
        <v>8830</v>
      </c>
      <c r="AG45" s="464">
        <v>11418</v>
      </c>
      <c r="AH45" s="458"/>
      <c r="AI45" s="458"/>
      <c r="AJ45" s="458"/>
    </row>
    <row r="46" spans="5:36" x14ac:dyDescent="0.2">
      <c r="E46" s="433"/>
      <c r="F46" s="433"/>
      <c r="G46" s="433"/>
      <c r="H46" s="435" t="s">
        <v>104</v>
      </c>
      <c r="I46" s="436"/>
      <c r="J46" s="436"/>
      <c r="K46" s="437"/>
      <c r="L46" s="438"/>
      <c r="M46" s="439">
        <f>M27</f>
        <v>0.1174</v>
      </c>
      <c r="V46" s="459">
        <v>29</v>
      </c>
      <c r="W46" s="460" t="s">
        <v>246</v>
      </c>
      <c r="X46" s="468" t="s">
        <v>247</v>
      </c>
      <c r="Y46" s="462">
        <v>231</v>
      </c>
      <c r="Z46" s="463">
        <v>232.5</v>
      </c>
      <c r="AA46" s="463">
        <f t="shared" si="0"/>
        <v>1.5</v>
      </c>
      <c r="AB46" s="464">
        <v>7169</v>
      </c>
      <c r="AC46" s="464">
        <v>7741</v>
      </c>
      <c r="AD46" s="465">
        <v>7970</v>
      </c>
      <c r="AE46" s="464">
        <v>8356</v>
      </c>
      <c r="AF46" s="464">
        <v>8830</v>
      </c>
      <c r="AG46" s="464">
        <v>11418</v>
      </c>
      <c r="AH46" s="458"/>
      <c r="AI46" s="458"/>
      <c r="AJ46" s="458"/>
    </row>
    <row r="47" spans="5:36" x14ac:dyDescent="0.2">
      <c r="E47" s="433"/>
      <c r="F47" s="433"/>
      <c r="G47" s="433"/>
      <c r="H47" s="435" t="s">
        <v>101</v>
      </c>
      <c r="I47" s="436"/>
      <c r="J47" s="436"/>
      <c r="K47" s="437"/>
      <c r="L47" s="438"/>
      <c r="M47" s="439">
        <f>M44</f>
        <v>2.4899999999999999E-2</v>
      </c>
      <c r="V47" s="458"/>
      <c r="W47" s="458"/>
      <c r="X47" s="458"/>
      <c r="Y47" s="458"/>
      <c r="Z47" s="458"/>
      <c r="AA47" s="471">
        <f>SUM(AA18:AA40)</f>
        <v>152.80000000000001</v>
      </c>
      <c r="AB47" s="458"/>
      <c r="AC47" s="458"/>
      <c r="AD47" s="458"/>
      <c r="AE47" s="458"/>
      <c r="AF47" s="458"/>
      <c r="AG47" s="458"/>
      <c r="AH47" s="458"/>
      <c r="AI47" s="458"/>
      <c r="AJ47" s="458"/>
    </row>
    <row r="48" spans="5:36" ht="15.75" x14ac:dyDescent="0.2">
      <c r="E48" s="433"/>
      <c r="F48" s="433"/>
      <c r="G48" s="433"/>
      <c r="H48" s="759" t="s">
        <v>105</v>
      </c>
      <c r="I48" s="760"/>
      <c r="J48" s="760"/>
      <c r="K48" s="760"/>
      <c r="L48" s="761"/>
      <c r="M48" s="472">
        <f>ROUND(SUM(M46:M47),4)</f>
        <v>0.14230000000000001</v>
      </c>
    </row>
    <row r="49" spans="2:14" ht="15.75" customHeight="1" x14ac:dyDescent="0.25">
      <c r="I49" s="108"/>
      <c r="J49" s="108"/>
      <c r="K49" s="108"/>
      <c r="L49" s="108"/>
    </row>
    <row r="59" spans="2:14" x14ac:dyDescent="0.25">
      <c r="B59" s="108"/>
      <c r="D59" s="108"/>
      <c r="E59" s="108"/>
      <c r="F59" s="108"/>
      <c r="G59" s="108"/>
      <c r="H59" s="108"/>
      <c r="I59" s="108"/>
      <c r="J59" s="108"/>
      <c r="K59" s="241"/>
      <c r="L59" s="251"/>
    </row>
    <row r="60" spans="2:14" x14ac:dyDescent="0.25">
      <c r="L60" s="251"/>
      <c r="M60" s="241"/>
      <c r="N60" s="166"/>
    </row>
    <row r="61" spans="2:14" x14ac:dyDescent="0.25">
      <c r="L61" s="251"/>
      <c r="N61" s="166"/>
    </row>
    <row r="62" spans="2:14" x14ac:dyDescent="0.25">
      <c r="L62" s="251"/>
      <c r="M62" s="241"/>
      <c r="N62" s="166"/>
    </row>
    <row r="63" spans="2:14" x14ac:dyDescent="0.25">
      <c r="L63" s="251"/>
      <c r="N63" s="166"/>
    </row>
    <row r="64" spans="2:14" x14ac:dyDescent="0.25">
      <c r="L64" s="251"/>
      <c r="N64" s="166"/>
    </row>
    <row r="65" spans="12:14" x14ac:dyDescent="0.25">
      <c r="L65" s="251"/>
      <c r="M65" s="110"/>
      <c r="N65" s="166"/>
    </row>
    <row r="66" spans="12:14" x14ac:dyDescent="0.25">
      <c r="L66" s="251"/>
      <c r="M66" s="110"/>
      <c r="N66" s="166"/>
    </row>
    <row r="67" spans="12:14" x14ac:dyDescent="0.25">
      <c r="L67" s="251"/>
      <c r="M67" s="110"/>
      <c r="N67" s="166"/>
    </row>
    <row r="68" spans="12:14" x14ac:dyDescent="0.25">
      <c r="L68" s="251"/>
      <c r="M68" s="110"/>
      <c r="N68" s="166"/>
    </row>
    <row r="69" spans="12:14" x14ac:dyDescent="0.25">
      <c r="L69" s="251"/>
      <c r="M69" s="110"/>
      <c r="N69" s="166"/>
    </row>
    <row r="70" spans="12:14" x14ac:dyDescent="0.25">
      <c r="L70" s="251"/>
      <c r="M70" s="110"/>
      <c r="N70" s="166"/>
    </row>
    <row r="71" spans="12:14" x14ac:dyDescent="0.25">
      <c r="L71" s="251"/>
      <c r="M71" s="110"/>
      <c r="N71" s="166"/>
    </row>
    <row r="72" spans="12:14" x14ac:dyDescent="0.25">
      <c r="L72" s="251"/>
      <c r="M72" s="110"/>
      <c r="N72" s="166"/>
    </row>
    <row r="73" spans="12:14" x14ac:dyDescent="0.25">
      <c r="L73" s="251"/>
      <c r="M73" s="110"/>
      <c r="N73" s="166"/>
    </row>
    <row r="74" spans="12:14" x14ac:dyDescent="0.25">
      <c r="L74" s="251"/>
      <c r="M74" s="110"/>
      <c r="N74" s="166"/>
    </row>
    <row r="75" spans="12:14" x14ac:dyDescent="0.25">
      <c r="L75" s="251"/>
      <c r="M75" s="110"/>
      <c r="N75" s="166"/>
    </row>
    <row r="76" spans="12:14" x14ac:dyDescent="0.25">
      <c r="L76" s="251"/>
      <c r="M76" s="110"/>
      <c r="N76" s="166"/>
    </row>
    <row r="77" spans="12:14" x14ac:dyDescent="0.25">
      <c r="L77" s="251"/>
      <c r="M77" s="110"/>
      <c r="N77" s="166"/>
    </row>
  </sheetData>
  <mergeCells count="8">
    <mergeCell ref="H48:L48"/>
    <mergeCell ref="B10:M10"/>
    <mergeCell ref="B3:M3"/>
    <mergeCell ref="B4:M4"/>
    <mergeCell ref="B5:M5"/>
    <mergeCell ref="B6:M6"/>
    <mergeCell ref="B7:M7"/>
    <mergeCell ref="C8:M8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54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93"/>
  <sheetViews>
    <sheetView view="pageBreakPreview" zoomScale="85" zoomScaleNormal="70" zoomScaleSheetLayoutView="85" workbookViewId="0">
      <selection activeCell="B6" sqref="B6:J6"/>
    </sheetView>
  </sheetViews>
  <sheetFormatPr defaultRowHeight="15" x14ac:dyDescent="0.25"/>
  <cols>
    <col min="1" max="1" width="4.7109375" style="14" customWidth="1"/>
    <col min="2" max="2" width="30.42578125" customWidth="1"/>
    <col min="3" max="3" width="54.5703125" customWidth="1"/>
    <col min="4" max="4" width="18.42578125" customWidth="1"/>
    <col min="5" max="8" width="13.42578125" customWidth="1"/>
    <col min="9" max="9" width="17" customWidth="1"/>
    <col min="10" max="10" width="23" customWidth="1"/>
    <col min="11" max="11" width="5.28515625" customWidth="1"/>
  </cols>
  <sheetData>
    <row r="1" spans="1:14" s="16" customFormat="1" ht="14.25" x14ac:dyDescent="0.2">
      <c r="B1" s="103"/>
      <c r="C1" s="103"/>
      <c r="H1" s="113"/>
    </row>
    <row r="2" spans="1:14" s="16" customFormat="1" ht="14.25" x14ac:dyDescent="0.2">
      <c r="B2" s="103"/>
      <c r="C2" s="103"/>
      <c r="H2" s="113"/>
    </row>
    <row r="3" spans="1:14" s="16" customFormat="1" ht="23.25" x14ac:dyDescent="0.35">
      <c r="B3" s="694"/>
      <c r="C3" s="695"/>
      <c r="D3" s="695"/>
      <c r="E3" s="695"/>
      <c r="F3" s="695"/>
      <c r="G3" s="695"/>
      <c r="H3" s="695"/>
      <c r="I3" s="695"/>
      <c r="J3" s="696"/>
    </row>
    <row r="4" spans="1:14" s="112" customFormat="1" ht="23.25" x14ac:dyDescent="0.25">
      <c r="B4" s="799" t="str">
        <f>CAPA!B4</f>
        <v>CONCESSIONÁRIA ROTA DE SANTA MARIA</v>
      </c>
      <c r="C4" s="800"/>
      <c r="D4" s="800"/>
      <c r="E4" s="800"/>
      <c r="F4" s="800"/>
      <c r="G4" s="800"/>
      <c r="H4" s="800"/>
      <c r="I4" s="800"/>
      <c r="J4" s="801"/>
    </row>
    <row r="5" spans="1:14" s="16" customFormat="1" ht="20.25" x14ac:dyDescent="0.3">
      <c r="B5" s="740"/>
      <c r="C5" s="741"/>
      <c r="D5" s="741"/>
      <c r="E5" s="741"/>
      <c r="F5" s="741"/>
      <c r="G5" s="741"/>
      <c r="H5" s="741"/>
      <c r="I5" s="741"/>
      <c r="J5" s="742"/>
    </row>
    <row r="6" spans="1:14" s="112" customFormat="1" ht="20.25" x14ac:dyDescent="0.25">
      <c r="B6" s="743"/>
      <c r="C6" s="744"/>
      <c r="D6" s="744"/>
      <c r="E6" s="744"/>
      <c r="F6" s="744"/>
      <c r="G6" s="744"/>
      <c r="H6" s="744"/>
      <c r="I6" s="744"/>
      <c r="J6" s="745"/>
    </row>
    <row r="7" spans="1:14" s="16" customFormat="1" ht="20.25" x14ac:dyDescent="0.3">
      <c r="B7" s="713"/>
      <c r="C7" s="733"/>
      <c r="D7" s="733"/>
      <c r="E7" s="733"/>
      <c r="F7" s="733"/>
      <c r="G7" s="733"/>
      <c r="H7" s="733"/>
      <c r="I7" s="733"/>
      <c r="J7" s="715"/>
    </row>
    <row r="8" spans="1:14" s="16" customFormat="1" ht="20.25" x14ac:dyDescent="0.3">
      <c r="B8" s="104"/>
      <c r="C8" s="105"/>
      <c r="D8" s="105"/>
      <c r="E8" s="105"/>
      <c r="F8" s="105"/>
      <c r="G8" s="105"/>
      <c r="H8" s="114"/>
      <c r="I8" s="105"/>
      <c r="J8" s="44"/>
    </row>
    <row r="9" spans="1:14" s="16" customFormat="1" ht="14.25" x14ac:dyDescent="0.2">
      <c r="H9" s="113"/>
    </row>
    <row r="10" spans="1:14" s="122" customFormat="1" ht="27" customHeight="1" x14ac:dyDescent="0.25">
      <c r="A10" s="142"/>
      <c r="B10" s="796" t="s">
        <v>0</v>
      </c>
      <c r="C10" s="797"/>
      <c r="D10" s="797"/>
      <c r="E10" s="797"/>
      <c r="F10" s="797"/>
      <c r="G10" s="797"/>
      <c r="H10" s="797"/>
      <c r="I10" s="797"/>
      <c r="J10" s="798"/>
      <c r="K10" s="123"/>
      <c r="L10" s="123"/>
      <c r="M10" s="123"/>
      <c r="N10" s="124"/>
    </row>
    <row r="11" spans="1:14" s="161" customFormat="1" x14ac:dyDescent="0.25">
      <c r="B11" s="162"/>
      <c r="C11" s="162"/>
      <c r="D11" s="163"/>
      <c r="E11" s="164"/>
      <c r="F11" s="164"/>
      <c r="H11" s="165"/>
      <c r="I11" s="183"/>
    </row>
    <row r="12" spans="1:14" s="128" customFormat="1" ht="15.75" x14ac:dyDescent="0.25">
      <c r="A12" s="74"/>
      <c r="B12" s="101" t="s">
        <v>66</v>
      </c>
      <c r="C12" s="82" t="str">
        <f>CAPA!D31</f>
        <v>RSC-287 KM 28+000 ao KM+180+000</v>
      </c>
      <c r="D12" s="125"/>
      <c r="E12" s="126"/>
      <c r="F12" s="126"/>
      <c r="G12" s="126"/>
      <c r="H12" s="126"/>
      <c r="I12" s="126"/>
      <c r="J12" s="127"/>
    </row>
    <row r="13" spans="1:14" s="128" customFormat="1" ht="15.75" x14ac:dyDescent="0.25">
      <c r="A13" s="68"/>
      <c r="B13" s="102" t="s">
        <v>69</v>
      </c>
      <c r="C13" s="84" t="str">
        <f>CAPA!$B$20</f>
        <v>Aumento de patologias entre a data da proposta
e a assunção da Concessionária</v>
      </c>
      <c r="D13" s="129"/>
      <c r="E13" s="130"/>
      <c r="F13" s="130"/>
      <c r="G13" s="130"/>
      <c r="H13" s="130"/>
      <c r="I13" s="130"/>
      <c r="J13" s="131"/>
    </row>
    <row r="14" spans="1:14" s="128" customFormat="1" ht="15.75" x14ac:dyDescent="0.25">
      <c r="A14" s="68"/>
      <c r="B14" s="102" t="str">
        <f>_RESUMO!B13</f>
        <v>DATA BASE:</v>
      </c>
      <c r="C14" s="74" t="str">
        <f>_RESUMO!C13</f>
        <v>ABRIL/2022</v>
      </c>
      <c r="D14" s="130"/>
      <c r="E14" s="130"/>
      <c r="F14" s="130"/>
      <c r="G14" s="130"/>
      <c r="H14" s="130"/>
      <c r="I14" s="85"/>
      <c r="J14" s="131"/>
    </row>
    <row r="15" spans="1:14" s="128" customFormat="1" ht="15.75" x14ac:dyDescent="0.25">
      <c r="A15" s="68"/>
      <c r="B15" s="102" t="str">
        <f>_RESUMO!B14</f>
        <v>CONDIÇÃO:</v>
      </c>
      <c r="C15" s="74" t="str">
        <f>_RESUMO!C14</f>
        <v>ONERADO</v>
      </c>
      <c r="D15" s="130"/>
      <c r="E15" s="130"/>
      <c r="F15" s="130"/>
      <c r="G15" s="130"/>
      <c r="H15" s="130"/>
      <c r="I15" s="84"/>
      <c r="J15" s="131"/>
    </row>
    <row r="16" spans="1:14" s="136" customFormat="1" ht="18" x14ac:dyDescent="0.25">
      <c r="A16" s="132"/>
      <c r="B16" s="475" t="s">
        <v>248</v>
      </c>
      <c r="C16" s="476" t="s">
        <v>249</v>
      </c>
      <c r="D16" s="133"/>
      <c r="E16" s="134"/>
      <c r="F16" s="134"/>
      <c r="G16" s="134"/>
      <c r="H16" s="134"/>
      <c r="I16" s="134"/>
      <c r="J16" s="135"/>
    </row>
    <row r="17" spans="1:15" s="14" customFormat="1" x14ac:dyDescent="0.25">
      <c r="A17" s="191"/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6"/>
      <c r="M17" s="16"/>
      <c r="N17" s="196"/>
    </row>
    <row r="18" spans="1:15" s="14" customFormat="1" x14ac:dyDescent="0.25">
      <c r="A18" s="192"/>
      <c r="B18" s="197"/>
      <c r="C18" s="793" t="s">
        <v>1</v>
      </c>
      <c r="D18" s="793"/>
      <c r="E18" s="793"/>
      <c r="F18" s="793"/>
      <c r="G18" s="793"/>
      <c r="H18" s="793"/>
      <c r="I18" s="793"/>
      <c r="J18" s="198"/>
      <c r="K18" s="199"/>
    </row>
    <row r="19" spans="1:15" s="14" customFormat="1" ht="15.75" x14ac:dyDescent="0.25">
      <c r="A19" s="192"/>
      <c r="B19" s="200"/>
      <c r="C19" s="201"/>
      <c r="D19" s="201"/>
      <c r="E19" s="201"/>
      <c r="F19" s="201"/>
      <c r="G19" s="201"/>
      <c r="H19" s="201"/>
      <c r="I19" s="201"/>
      <c r="J19" s="202"/>
      <c r="K19" s="199"/>
    </row>
    <row r="20" spans="1:15" s="122" customFormat="1" ht="24.75" customHeight="1" x14ac:dyDescent="0.25">
      <c r="A20" s="193"/>
      <c r="B20" s="203"/>
      <c r="C20" s="764" t="s">
        <v>2</v>
      </c>
      <c r="D20" s="794"/>
      <c r="E20" s="794"/>
      <c r="F20" s="795"/>
      <c r="G20" s="764" t="s">
        <v>3</v>
      </c>
      <c r="H20" s="794"/>
      <c r="I20" s="795"/>
      <c r="J20" s="206"/>
      <c r="K20" s="207"/>
    </row>
    <row r="21" spans="1:15" s="122" customFormat="1" ht="24.75" customHeight="1" x14ac:dyDescent="0.25">
      <c r="A21" s="194"/>
      <c r="B21" s="203"/>
      <c r="C21" s="790" t="s">
        <v>4</v>
      </c>
      <c r="D21" s="765"/>
      <c r="E21" s="765"/>
      <c r="F21" s="765"/>
      <c r="G21" s="791" t="s">
        <v>5</v>
      </c>
      <c r="H21" s="792"/>
      <c r="I21" s="8" t="s">
        <v>6</v>
      </c>
      <c r="J21" s="208"/>
      <c r="K21" s="209"/>
    </row>
    <row r="22" spans="1:15" s="142" customFormat="1" ht="24.75" customHeight="1" x14ac:dyDescent="0.25">
      <c r="B22" s="203"/>
      <c r="C22" s="768" t="s">
        <v>7</v>
      </c>
      <c r="D22" s="768"/>
      <c r="E22" s="779" t="s">
        <v>88</v>
      </c>
      <c r="F22" s="780"/>
      <c r="G22" s="763">
        <f>I22/(1+$I$36)</f>
        <v>7.100031555695803E-2</v>
      </c>
      <c r="H22" s="763"/>
      <c r="I22" s="216">
        <v>0.09</v>
      </c>
      <c r="J22" s="210"/>
      <c r="K22" s="211"/>
    </row>
    <row r="23" spans="1:15" s="142" customFormat="1" ht="24.75" customHeight="1" x14ac:dyDescent="0.25">
      <c r="B23" s="203"/>
      <c r="C23" s="768" t="s">
        <v>8</v>
      </c>
      <c r="D23" s="768"/>
      <c r="E23" s="779" t="s">
        <v>89</v>
      </c>
      <c r="F23" s="780"/>
      <c r="G23" s="763">
        <v>9.4999999999999998E-3</v>
      </c>
      <c r="H23" s="763"/>
      <c r="I23" s="216">
        <f>G23*(1+$I$36)</f>
        <v>1.2042199999999999E-2</v>
      </c>
      <c r="J23" s="210"/>
      <c r="K23" s="211"/>
    </row>
    <row r="24" spans="1:15" s="142" customFormat="1" ht="24.75" customHeight="1" x14ac:dyDescent="0.25">
      <c r="B24" s="203"/>
      <c r="C24" s="768" t="s">
        <v>9</v>
      </c>
      <c r="D24" s="768"/>
      <c r="E24" s="779" t="s">
        <v>10</v>
      </c>
      <c r="F24" s="780"/>
      <c r="G24" s="763">
        <v>2.5000000000000001E-3</v>
      </c>
      <c r="H24" s="763"/>
      <c r="I24" s="216">
        <f>G24*(1+$I$36)</f>
        <v>3.1690000000000004E-3</v>
      </c>
      <c r="J24" s="210"/>
      <c r="K24" s="212"/>
      <c r="O24" s="217"/>
    </row>
    <row r="25" spans="1:15" s="142" customFormat="1" ht="24.75" customHeight="1" x14ac:dyDescent="0.25">
      <c r="B25" s="203"/>
      <c r="C25" s="768" t="s">
        <v>11</v>
      </c>
      <c r="D25" s="768"/>
      <c r="E25" s="779" t="s">
        <v>12</v>
      </c>
      <c r="F25" s="780"/>
      <c r="G25" s="763">
        <v>5.0000000000000001E-3</v>
      </c>
      <c r="H25" s="763"/>
      <c r="I25" s="216">
        <f>G25*(1+$I$36)</f>
        <v>6.3380000000000008E-3</v>
      </c>
      <c r="J25" s="267"/>
      <c r="K25" s="212"/>
      <c r="O25" s="217"/>
    </row>
    <row r="26" spans="1:15" s="142" customFormat="1" ht="24.75" customHeight="1" x14ac:dyDescent="0.25">
      <c r="B26" s="203"/>
      <c r="C26" s="762" t="s">
        <v>13</v>
      </c>
      <c r="D26" s="762"/>
      <c r="E26" s="762"/>
      <c r="F26" s="762"/>
      <c r="G26" s="771">
        <f>SUM(G22:H25)</f>
        <v>8.8000315556958031E-2</v>
      </c>
      <c r="H26" s="772"/>
      <c r="I26" s="218">
        <f>SUM(I22:I25)</f>
        <v>0.1115492</v>
      </c>
      <c r="J26" s="210"/>
      <c r="K26" s="212"/>
      <c r="O26" s="217"/>
    </row>
    <row r="27" spans="1:15" s="122" customFormat="1" ht="24.75" customHeight="1" x14ac:dyDescent="0.25">
      <c r="A27" s="142"/>
      <c r="B27" s="203"/>
      <c r="C27" s="789" t="s">
        <v>14</v>
      </c>
      <c r="D27" s="765"/>
      <c r="E27" s="765"/>
      <c r="F27" s="765"/>
      <c r="G27" s="766" t="s">
        <v>5</v>
      </c>
      <c r="H27" s="767"/>
      <c r="I27" s="9" t="s">
        <v>6</v>
      </c>
      <c r="J27" s="210"/>
      <c r="K27" s="212"/>
      <c r="O27" s="180"/>
    </row>
    <row r="28" spans="1:15" s="142" customFormat="1" ht="24.75" customHeight="1" x14ac:dyDescent="0.25">
      <c r="B28" s="203"/>
      <c r="C28" s="768" t="s">
        <v>15</v>
      </c>
      <c r="D28" s="768"/>
      <c r="E28" s="779" t="s">
        <v>88</v>
      </c>
      <c r="F28" s="780"/>
      <c r="G28" s="763">
        <f>I28/(1+$I$36)</f>
        <v>9.4667087409277373E-2</v>
      </c>
      <c r="H28" s="763"/>
      <c r="I28" s="216">
        <v>0.12</v>
      </c>
      <c r="J28" s="213"/>
      <c r="K28" s="212"/>
      <c r="O28" s="217"/>
    </row>
    <row r="29" spans="1:15" s="142" customFormat="1" ht="24.75" customHeight="1" x14ac:dyDescent="0.25">
      <c r="B29" s="203"/>
      <c r="C29" s="762" t="s">
        <v>16</v>
      </c>
      <c r="D29" s="762"/>
      <c r="E29" s="762"/>
      <c r="F29" s="762"/>
      <c r="G29" s="763">
        <f>G28</f>
        <v>9.4667087409277373E-2</v>
      </c>
      <c r="H29" s="763"/>
      <c r="I29" s="218">
        <f>I28</f>
        <v>0.12</v>
      </c>
      <c r="J29" s="213"/>
      <c r="K29" s="212"/>
      <c r="O29" s="217"/>
    </row>
    <row r="30" spans="1:15" s="122" customFormat="1" ht="24.75" customHeight="1" x14ac:dyDescent="0.25">
      <c r="A30" s="142"/>
      <c r="B30" s="203"/>
      <c r="C30" s="764" t="s">
        <v>17</v>
      </c>
      <c r="D30" s="765"/>
      <c r="E30" s="765"/>
      <c r="F30" s="765"/>
      <c r="G30" s="766" t="s">
        <v>5</v>
      </c>
      <c r="H30" s="767"/>
      <c r="I30" s="9" t="s">
        <v>6</v>
      </c>
      <c r="J30" s="266"/>
      <c r="K30" s="212"/>
      <c r="O30" s="180"/>
    </row>
    <row r="31" spans="1:15" s="142" customFormat="1" ht="24.75" customHeight="1" x14ac:dyDescent="0.25">
      <c r="B31" s="203"/>
      <c r="C31" s="768" t="s">
        <v>250</v>
      </c>
      <c r="D31" s="768"/>
      <c r="E31" s="769" t="s">
        <v>21</v>
      </c>
      <c r="F31" s="770"/>
      <c r="G31" s="763">
        <v>0</v>
      </c>
      <c r="H31" s="763"/>
      <c r="I31" s="216">
        <f>G31*(1+$I$36)</f>
        <v>0</v>
      </c>
      <c r="J31" s="213"/>
      <c r="K31" s="212"/>
      <c r="O31" s="217"/>
    </row>
    <row r="32" spans="1:15" s="142" customFormat="1" ht="24.75" customHeight="1" x14ac:dyDescent="0.25">
      <c r="B32" s="203"/>
      <c r="C32" s="768" t="s">
        <v>251</v>
      </c>
      <c r="D32" s="768"/>
      <c r="E32" s="769" t="s">
        <v>252</v>
      </c>
      <c r="F32" s="770"/>
      <c r="G32" s="763">
        <v>0</v>
      </c>
      <c r="H32" s="763"/>
      <c r="I32" s="216">
        <f>G32*(1+$I$36)</f>
        <v>0</v>
      </c>
      <c r="J32" s="213"/>
      <c r="K32" s="212"/>
      <c r="O32" s="217"/>
    </row>
    <row r="33" spans="1:15" s="142" customFormat="1" ht="24.75" customHeight="1" x14ac:dyDescent="0.25">
      <c r="B33" s="203"/>
      <c r="C33" s="768" t="s">
        <v>19</v>
      </c>
      <c r="D33" s="768"/>
      <c r="E33" s="786" t="s">
        <v>253</v>
      </c>
      <c r="F33" s="787"/>
      <c r="G33" s="788">
        <f>C58</f>
        <v>2.8500000000000001E-2</v>
      </c>
      <c r="H33" s="788"/>
      <c r="I33" s="216">
        <f>G33*(1+$I$36)</f>
        <v>3.6126600000000002E-2</v>
      </c>
      <c r="J33" s="213"/>
      <c r="K33" s="212"/>
      <c r="O33" s="217"/>
    </row>
    <row r="34" spans="1:15" s="142" customFormat="1" ht="25.5" customHeight="1" x14ac:dyDescent="0.25">
      <c r="B34" s="203"/>
      <c r="C34" s="778" t="s">
        <v>20</v>
      </c>
      <c r="D34" s="778"/>
      <c r="E34" s="779" t="s">
        <v>21</v>
      </c>
      <c r="F34" s="780"/>
      <c r="G34" s="763">
        <v>0</v>
      </c>
      <c r="H34" s="763"/>
      <c r="I34" s="216">
        <f>G34*(1+$I$36)</f>
        <v>0</v>
      </c>
      <c r="J34" s="213"/>
      <c r="K34" s="212"/>
      <c r="O34" s="217"/>
    </row>
    <row r="35" spans="1:15" s="142" customFormat="1" ht="24.75" customHeight="1" x14ac:dyDescent="0.25">
      <c r="B35" s="203"/>
      <c r="C35" s="762" t="s">
        <v>22</v>
      </c>
      <c r="D35" s="762"/>
      <c r="E35" s="762"/>
      <c r="F35" s="762"/>
      <c r="G35" s="771">
        <f>SUM(G31:H34)</f>
        <v>2.8500000000000001E-2</v>
      </c>
      <c r="H35" s="772"/>
      <c r="I35" s="218">
        <f>SUM(I31:I34)</f>
        <v>3.6126600000000002E-2</v>
      </c>
      <c r="J35" s="267"/>
      <c r="K35" s="212"/>
      <c r="O35" s="217"/>
    </row>
    <row r="36" spans="1:15" s="122" customFormat="1" ht="24.75" customHeight="1" x14ac:dyDescent="0.25">
      <c r="A36" s="142"/>
      <c r="B36" s="204"/>
      <c r="C36" s="10" t="s">
        <v>23</v>
      </c>
      <c r="D36" s="11"/>
      <c r="E36" s="11"/>
      <c r="F36" s="12"/>
      <c r="G36" s="773">
        <f>G35+G29+G26</f>
        <v>0.2111674029662354</v>
      </c>
      <c r="H36" s="774"/>
      <c r="I36" s="13">
        <f>TRUNC((1+I22+I28)/(1-G23-G24-G25-G35)-1,4)</f>
        <v>0.2676</v>
      </c>
      <c r="J36" s="268"/>
      <c r="K36" s="214"/>
      <c r="L36" s="181"/>
      <c r="M36" s="181"/>
      <c r="N36" s="181"/>
      <c r="O36" s="182"/>
    </row>
    <row r="37" spans="1:15" s="14" customFormat="1" x14ac:dyDescent="0.25">
      <c r="B37" s="205"/>
      <c r="C37" s="219"/>
      <c r="D37" s="219"/>
      <c r="E37" s="219"/>
      <c r="F37" s="219"/>
      <c r="G37" s="219"/>
      <c r="H37" s="219"/>
      <c r="I37" s="219"/>
      <c r="J37" s="215"/>
      <c r="K37" s="184"/>
      <c r="O37" s="185"/>
    </row>
    <row r="38" spans="1:15" s="14" customFormat="1" ht="15.75" x14ac:dyDescent="0.25">
      <c r="B38" s="205"/>
      <c r="C38" s="220" t="s">
        <v>24</v>
      </c>
      <c r="D38" s="221"/>
      <c r="E38" s="221"/>
      <c r="F38" s="222"/>
      <c r="G38" s="222" t="s">
        <v>254</v>
      </c>
      <c r="H38" s="222"/>
      <c r="I38" s="223"/>
      <c r="J38" s="215"/>
      <c r="K38" s="184"/>
      <c r="O38" s="185"/>
    </row>
    <row r="39" spans="1:15" s="14" customFormat="1" ht="15.75" x14ac:dyDescent="0.25">
      <c r="B39" s="205"/>
      <c r="C39" s="224" t="s">
        <v>25</v>
      </c>
      <c r="D39" s="225"/>
      <c r="E39" s="225"/>
      <c r="F39" s="226"/>
      <c r="G39" s="226"/>
      <c r="H39" s="226"/>
      <c r="I39" s="227"/>
      <c r="J39" s="215"/>
      <c r="K39" s="184"/>
      <c r="N39" s="228"/>
      <c r="O39" s="229"/>
    </row>
    <row r="40" spans="1:15" s="14" customFormat="1" ht="15.75" x14ac:dyDescent="0.25">
      <c r="B40" s="205"/>
      <c r="C40" s="230" t="s">
        <v>26</v>
      </c>
      <c r="D40" s="231"/>
      <c r="E40" s="231"/>
      <c r="F40" s="232"/>
      <c r="G40" s="232"/>
      <c r="H40" s="232"/>
      <c r="I40" s="233"/>
      <c r="J40" s="215"/>
      <c r="K40" s="184"/>
      <c r="O40" s="185"/>
    </row>
    <row r="41" spans="1:15" s="14" customFormat="1" x14ac:dyDescent="0.25">
      <c r="B41" s="205"/>
      <c r="C41" s="234"/>
      <c r="D41" s="234"/>
      <c r="E41" s="234"/>
      <c r="F41" s="235"/>
      <c r="G41" s="219"/>
      <c r="H41" s="219"/>
      <c r="I41" s="73"/>
      <c r="J41" s="215"/>
      <c r="K41" s="184"/>
      <c r="O41" s="185"/>
    </row>
    <row r="42" spans="1:15" ht="15.75" x14ac:dyDescent="0.25">
      <c r="B42" s="781" t="s">
        <v>75</v>
      </c>
      <c r="C42" s="782"/>
      <c r="D42" s="782"/>
      <c r="E42" s="782"/>
      <c r="F42" s="782"/>
      <c r="G42" s="782"/>
      <c r="H42" s="782"/>
      <c r="I42" s="782"/>
      <c r="J42" s="783"/>
      <c r="K42" s="2"/>
      <c r="L42" s="1"/>
      <c r="M42" s="1"/>
      <c r="N42" s="1"/>
      <c r="O42" s="7"/>
    </row>
    <row r="43" spans="1:15" s="14" customFormat="1" ht="15.75" x14ac:dyDescent="0.25">
      <c r="B43" s="784"/>
      <c r="C43" s="784"/>
      <c r="D43" s="784"/>
      <c r="E43" s="784"/>
      <c r="F43" s="784"/>
      <c r="G43" s="784"/>
      <c r="H43" s="784"/>
      <c r="I43" s="784"/>
      <c r="J43" s="784"/>
      <c r="K43" s="184"/>
      <c r="O43" s="185"/>
    </row>
    <row r="44" spans="1:15" s="14" customFormat="1" ht="15.75" x14ac:dyDescent="0.25">
      <c r="B44" s="785" t="s">
        <v>27</v>
      </c>
      <c r="C44" s="785" t="s">
        <v>28</v>
      </c>
      <c r="D44" s="785" t="s">
        <v>29</v>
      </c>
      <c r="E44" s="785"/>
      <c r="F44" s="785" t="s">
        <v>30</v>
      </c>
      <c r="G44" s="785"/>
      <c r="H44" s="785" t="s">
        <v>31</v>
      </c>
      <c r="I44" s="785"/>
      <c r="J44" s="785" t="s">
        <v>32</v>
      </c>
      <c r="K44" s="184"/>
      <c r="O44" s="185"/>
    </row>
    <row r="45" spans="1:15" s="14" customFormat="1" ht="15.75" x14ac:dyDescent="0.25">
      <c r="B45" s="785"/>
      <c r="C45" s="785"/>
      <c r="D45" s="186" t="s">
        <v>33</v>
      </c>
      <c r="E45" s="186" t="s">
        <v>34</v>
      </c>
      <c r="F45" s="186" t="s">
        <v>35</v>
      </c>
      <c r="G45" s="186" t="s">
        <v>36</v>
      </c>
      <c r="H45" s="186" t="s">
        <v>37</v>
      </c>
      <c r="I45" s="186" t="s">
        <v>38</v>
      </c>
      <c r="J45" s="785"/>
      <c r="K45" s="184"/>
      <c r="O45" s="185"/>
    </row>
    <row r="46" spans="1:15" s="14" customFormat="1" ht="15.75" x14ac:dyDescent="0.25">
      <c r="B46" s="382" t="s">
        <v>205</v>
      </c>
      <c r="C46" s="473">
        <v>0.02</v>
      </c>
      <c r="D46" s="382">
        <v>28</v>
      </c>
      <c r="E46" s="382">
        <v>36.271999999999998</v>
      </c>
      <c r="F46" s="382">
        <v>28</v>
      </c>
      <c r="G46" s="382">
        <v>36.271999999999998</v>
      </c>
      <c r="H46" s="382">
        <f>E46-D46</f>
        <v>8.2719999999999985</v>
      </c>
      <c r="I46" s="382">
        <f>G46-F46</f>
        <v>8.2719999999999985</v>
      </c>
      <c r="J46" s="474">
        <f>(I46/$I$56)*C46</f>
        <v>1.0884210526315788E-3</v>
      </c>
      <c r="K46" s="184"/>
      <c r="O46" s="185"/>
    </row>
    <row r="47" spans="1:15" s="14" customFormat="1" ht="15.75" x14ac:dyDescent="0.25">
      <c r="B47" s="382" t="s">
        <v>206</v>
      </c>
      <c r="C47" s="473">
        <v>0.02</v>
      </c>
      <c r="D47" s="382">
        <v>36.271999999999998</v>
      </c>
      <c r="E47" s="382">
        <v>51.255000000000003</v>
      </c>
      <c r="F47" s="382">
        <v>36.271999999999998</v>
      </c>
      <c r="G47" s="382">
        <v>51.255000000000003</v>
      </c>
      <c r="H47" s="382">
        <f t="shared" ref="H47:H55" si="0">E47-D47</f>
        <v>14.983000000000004</v>
      </c>
      <c r="I47" s="382">
        <f t="shared" ref="I47:I55" si="1">G47-F47</f>
        <v>14.983000000000004</v>
      </c>
      <c r="J47" s="474">
        <f t="shared" ref="J47:J55" si="2">(I47/$I$56)*C47</f>
        <v>1.9714473684210531E-3</v>
      </c>
      <c r="K47" s="184"/>
      <c r="O47" s="185"/>
    </row>
    <row r="48" spans="1:15" s="14" customFormat="1" ht="15.75" x14ac:dyDescent="0.25">
      <c r="B48" s="382" t="s">
        <v>207</v>
      </c>
      <c r="C48" s="473">
        <v>0.03</v>
      </c>
      <c r="D48" s="382">
        <v>51.255000000000003</v>
      </c>
      <c r="E48" s="382">
        <v>55.183999999999997</v>
      </c>
      <c r="F48" s="382">
        <v>51.255000000000003</v>
      </c>
      <c r="G48" s="382">
        <v>55.183999999999997</v>
      </c>
      <c r="H48" s="382">
        <f t="shared" si="0"/>
        <v>3.9289999999999949</v>
      </c>
      <c r="I48" s="382">
        <f t="shared" si="1"/>
        <v>3.9289999999999949</v>
      </c>
      <c r="J48" s="474">
        <f t="shared" si="2"/>
        <v>7.7546052631578854E-4</v>
      </c>
      <c r="K48" s="184"/>
      <c r="O48" s="185"/>
    </row>
    <row r="49" spans="2:15" s="14" customFormat="1" ht="15.75" x14ac:dyDescent="0.25">
      <c r="B49" s="382" t="s">
        <v>208</v>
      </c>
      <c r="C49" s="473">
        <v>0.03</v>
      </c>
      <c r="D49" s="382">
        <v>55.183999999999997</v>
      </c>
      <c r="E49" s="382">
        <v>88.882000000000005</v>
      </c>
      <c r="F49" s="382">
        <v>55.183999999999997</v>
      </c>
      <c r="G49" s="382">
        <v>88.882000000000005</v>
      </c>
      <c r="H49" s="382">
        <f t="shared" si="0"/>
        <v>33.698000000000008</v>
      </c>
      <c r="I49" s="382">
        <f t="shared" si="1"/>
        <v>33.698000000000008</v>
      </c>
      <c r="J49" s="474">
        <f t="shared" si="2"/>
        <v>6.6509210526315803E-3</v>
      </c>
      <c r="K49" s="184"/>
      <c r="O49" s="185"/>
    </row>
    <row r="50" spans="2:15" s="14" customFormat="1" ht="15.75" x14ac:dyDescent="0.25">
      <c r="B50" s="382" t="s">
        <v>209</v>
      </c>
      <c r="C50" s="473">
        <v>0.02</v>
      </c>
      <c r="D50" s="382">
        <v>88.882000000000005</v>
      </c>
      <c r="E50" s="382">
        <v>106.614</v>
      </c>
      <c r="F50" s="382">
        <v>88.882000000000005</v>
      </c>
      <c r="G50" s="382">
        <v>106.614</v>
      </c>
      <c r="H50" s="382">
        <f t="shared" si="0"/>
        <v>17.731999999999999</v>
      </c>
      <c r="I50" s="382">
        <f t="shared" si="1"/>
        <v>17.731999999999999</v>
      </c>
      <c r="J50" s="474">
        <f t="shared" si="2"/>
        <v>2.3331578947368421E-3</v>
      </c>
      <c r="K50" s="184"/>
      <c r="O50" s="185"/>
    </row>
    <row r="51" spans="2:15" s="14" customFormat="1" ht="15.75" x14ac:dyDescent="0.25">
      <c r="B51" s="382" t="s">
        <v>210</v>
      </c>
      <c r="C51" s="473">
        <v>3.5000000000000003E-2</v>
      </c>
      <c r="D51" s="382">
        <v>106.614</v>
      </c>
      <c r="E51" s="382">
        <v>120.01300000000001</v>
      </c>
      <c r="F51" s="382">
        <v>106.614</v>
      </c>
      <c r="G51" s="382">
        <v>120.01300000000001</v>
      </c>
      <c r="H51" s="382">
        <f t="shared" si="0"/>
        <v>13.399000000000001</v>
      </c>
      <c r="I51" s="382">
        <f t="shared" si="1"/>
        <v>13.399000000000001</v>
      </c>
      <c r="J51" s="474">
        <f t="shared" si="2"/>
        <v>3.0852960526315796E-3</v>
      </c>
      <c r="K51" s="184"/>
      <c r="O51" s="185"/>
    </row>
    <row r="52" spans="2:15" s="14" customFormat="1" ht="15.75" x14ac:dyDescent="0.25">
      <c r="B52" s="382" t="s">
        <v>211</v>
      </c>
      <c r="C52" s="473">
        <v>0.05</v>
      </c>
      <c r="D52" s="382">
        <v>120.01300000000001</v>
      </c>
      <c r="E52" s="382">
        <v>130.88300000000001</v>
      </c>
      <c r="F52" s="382">
        <v>120.01300000000001</v>
      </c>
      <c r="G52" s="382">
        <v>130.88300000000001</v>
      </c>
      <c r="H52" s="382">
        <f t="shared" si="0"/>
        <v>10.870000000000005</v>
      </c>
      <c r="I52" s="382">
        <f t="shared" si="1"/>
        <v>10.870000000000005</v>
      </c>
      <c r="J52" s="474">
        <f t="shared" si="2"/>
        <v>3.575657894736844E-3</v>
      </c>
      <c r="K52" s="184"/>
      <c r="O52" s="185"/>
    </row>
    <row r="53" spans="2:15" s="14" customFormat="1" ht="15.75" x14ac:dyDescent="0.25">
      <c r="B53" s="382" t="s">
        <v>212</v>
      </c>
      <c r="C53" s="473">
        <v>0.02</v>
      </c>
      <c r="D53" s="382">
        <v>130.88300000000001</v>
      </c>
      <c r="E53" s="382">
        <v>154.46799999999999</v>
      </c>
      <c r="F53" s="382">
        <v>130.88300000000001</v>
      </c>
      <c r="G53" s="382">
        <v>154.46799999999999</v>
      </c>
      <c r="H53" s="382">
        <f t="shared" si="0"/>
        <v>23.58499999999998</v>
      </c>
      <c r="I53" s="382">
        <f t="shared" si="1"/>
        <v>23.58499999999998</v>
      </c>
      <c r="J53" s="474">
        <f t="shared" si="2"/>
        <v>3.1032894736842077E-3</v>
      </c>
      <c r="K53" s="184"/>
      <c r="O53" s="185"/>
    </row>
    <row r="54" spans="2:15" s="14" customFormat="1" ht="15.75" x14ac:dyDescent="0.25">
      <c r="B54" s="382" t="s">
        <v>213</v>
      </c>
      <c r="C54" s="473">
        <v>0.04</v>
      </c>
      <c r="D54" s="382">
        <v>154.46799999999999</v>
      </c>
      <c r="E54" s="382">
        <v>167.83099999999999</v>
      </c>
      <c r="F54" s="382">
        <v>154.46799999999999</v>
      </c>
      <c r="G54" s="382">
        <v>167.83099999999999</v>
      </c>
      <c r="H54" s="382">
        <f t="shared" si="0"/>
        <v>13.363</v>
      </c>
      <c r="I54" s="382">
        <f t="shared" si="1"/>
        <v>13.363</v>
      </c>
      <c r="J54" s="474">
        <f t="shared" si="2"/>
        <v>3.5165789473684214E-3</v>
      </c>
      <c r="K54" s="184"/>
      <c r="O54" s="185"/>
    </row>
    <row r="55" spans="2:15" s="14" customFormat="1" ht="15.75" x14ac:dyDescent="0.25">
      <c r="B55" s="382" t="s">
        <v>214</v>
      </c>
      <c r="C55" s="473">
        <v>0.03</v>
      </c>
      <c r="D55" s="382">
        <v>167.83099999999999</v>
      </c>
      <c r="E55" s="382">
        <v>180</v>
      </c>
      <c r="F55" s="382">
        <v>167.83099999999999</v>
      </c>
      <c r="G55" s="382">
        <v>180</v>
      </c>
      <c r="H55" s="382">
        <f t="shared" si="0"/>
        <v>12.169000000000011</v>
      </c>
      <c r="I55" s="382">
        <f t="shared" si="1"/>
        <v>12.169000000000011</v>
      </c>
      <c r="J55" s="474">
        <f t="shared" si="2"/>
        <v>2.4017763157894757E-3</v>
      </c>
      <c r="K55" s="184"/>
      <c r="O55" s="185"/>
    </row>
    <row r="56" spans="2:15" s="14" customFormat="1" ht="15.75" x14ac:dyDescent="0.25">
      <c r="B56" s="775" t="s">
        <v>39</v>
      </c>
      <c r="C56" s="776"/>
      <c r="D56" s="776"/>
      <c r="E56" s="776"/>
      <c r="F56" s="776"/>
      <c r="G56" s="777"/>
      <c r="H56" s="187">
        <f>SUM(H46:H55)</f>
        <v>152</v>
      </c>
      <c r="I56" s="187">
        <f>SUM(I46:I55)</f>
        <v>152</v>
      </c>
      <c r="J56" s="188">
        <f>SUM(J46:J55)</f>
        <v>2.8502006578947373E-2</v>
      </c>
      <c r="K56" s="184"/>
      <c r="O56" s="185"/>
    </row>
    <row r="57" spans="2:15" s="14" customFormat="1" x14ac:dyDescent="0.25">
      <c r="B57" s="189"/>
      <c r="C57" s="73"/>
      <c r="D57" s="73"/>
      <c r="E57" s="73"/>
      <c r="F57" s="73"/>
      <c r="G57" s="73"/>
      <c r="H57" s="73"/>
      <c r="I57" s="73"/>
      <c r="J57" s="190"/>
      <c r="K57" s="184"/>
      <c r="O57" s="185"/>
    </row>
    <row r="58" spans="2:15" x14ac:dyDescent="0.25">
      <c r="B58" s="9" t="s">
        <v>40</v>
      </c>
      <c r="C58" s="9">
        <f>ROUND(J56,4)</f>
        <v>2.8500000000000001E-2</v>
      </c>
      <c r="D58" s="236"/>
      <c r="E58" s="73"/>
      <c r="F58" s="73"/>
      <c r="G58" s="73"/>
      <c r="H58" s="73"/>
      <c r="I58" s="73"/>
      <c r="J58" s="190"/>
      <c r="K58" s="184"/>
      <c r="L58" s="14"/>
      <c r="M58" s="1"/>
      <c r="N58" s="1"/>
      <c r="O58" s="7"/>
    </row>
    <row r="59" spans="2:15" s="14" customFormat="1" x14ac:dyDescent="0.25">
      <c r="B59" s="205"/>
      <c r="C59" s="73"/>
      <c r="D59" s="73"/>
      <c r="E59" s="73"/>
      <c r="F59" s="73"/>
      <c r="G59" s="73"/>
      <c r="H59" s="73"/>
      <c r="I59" s="73"/>
      <c r="J59" s="215"/>
      <c r="K59" s="184"/>
      <c r="O59" s="185"/>
    </row>
    <row r="60" spans="2:15" s="14" customFormat="1" x14ac:dyDescent="0.25">
      <c r="B60" s="140"/>
      <c r="C60" s="73"/>
      <c r="D60" s="73"/>
      <c r="E60" s="73"/>
      <c r="F60" s="73"/>
      <c r="G60" s="73"/>
      <c r="H60" s="73"/>
      <c r="I60" s="73"/>
      <c r="J60" s="137"/>
      <c r="K60" s="184"/>
      <c r="O60" s="185"/>
    </row>
    <row r="61" spans="2:15" s="14" customFormat="1" x14ac:dyDescent="0.25">
      <c r="B61" s="141"/>
      <c r="C61" s="139"/>
      <c r="D61" s="139"/>
      <c r="E61" s="139"/>
      <c r="F61" s="139"/>
      <c r="G61" s="139"/>
      <c r="H61" s="139"/>
      <c r="I61" s="139"/>
      <c r="J61" s="138"/>
      <c r="K61" s="184"/>
      <c r="O61" s="185"/>
    </row>
    <row r="62" spans="2:15" s="14" customFormat="1" x14ac:dyDescent="0.25">
      <c r="K62" s="184"/>
      <c r="O62" s="185"/>
    </row>
    <row r="63" spans="2:15" s="14" customFormat="1" x14ac:dyDescent="0.25">
      <c r="B63" s="14" t="s">
        <v>83</v>
      </c>
      <c r="O63" s="185"/>
    </row>
    <row r="64" spans="2:15" s="14" customFormat="1" x14ac:dyDescent="0.25">
      <c r="O64" s="185"/>
    </row>
    <row r="65" spans="1:15" s="14" customFormat="1" x14ac:dyDescent="0.25">
      <c r="O65" s="185"/>
    </row>
    <row r="66" spans="1:15" s="14" customFormat="1" x14ac:dyDescent="0.25">
      <c r="O66" s="185"/>
    </row>
    <row r="67" spans="1:15" x14ac:dyDescent="0.25">
      <c r="A67" s="185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 x14ac:dyDescent="0.25">
      <c r="A68" s="185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1:15" x14ac:dyDescent="0.25">
      <c r="A69" s="185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1:15" x14ac:dyDescent="0.25">
      <c r="A70" s="185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1:15" x14ac:dyDescent="0.25">
      <c r="A71" s="185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1:15" x14ac:dyDescent="0.25">
      <c r="A72" s="185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</row>
    <row r="73" spans="1:15" x14ac:dyDescent="0.25">
      <c r="A73" s="185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1:15" x14ac:dyDescent="0.25">
      <c r="A74" s="185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1:15" x14ac:dyDescent="0.25">
      <c r="A75" s="185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</row>
    <row r="76" spans="1:15" x14ac:dyDescent="0.25">
      <c r="A76" s="185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1:15" x14ac:dyDescent="0.25">
      <c r="A77" s="185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</row>
    <row r="78" spans="1:15" x14ac:dyDescent="0.25">
      <c r="A78" s="185"/>
      <c r="B78" s="1"/>
      <c r="C78" s="1"/>
      <c r="D78" s="1"/>
      <c r="E78" s="1"/>
      <c r="F78" s="1"/>
      <c r="G78" s="1"/>
      <c r="H78" s="1"/>
      <c r="I78" s="1"/>
      <c r="J78" s="1"/>
      <c r="K78" s="7"/>
    </row>
    <row r="79" spans="1:15" x14ac:dyDescent="0.25">
      <c r="A79" s="185"/>
      <c r="B79" s="1"/>
      <c r="C79" s="1"/>
      <c r="D79" s="1"/>
      <c r="E79" s="1"/>
      <c r="F79" s="1"/>
      <c r="G79" s="1"/>
      <c r="H79" s="1"/>
      <c r="I79" s="1"/>
      <c r="J79" s="1"/>
      <c r="K79" s="7"/>
    </row>
    <row r="80" spans="1:15" x14ac:dyDescent="0.25">
      <c r="A80" s="185"/>
      <c r="B80" s="7"/>
      <c r="C80" s="7"/>
      <c r="D80" s="7"/>
      <c r="E80" s="7"/>
      <c r="F80" s="7"/>
      <c r="G80" s="7"/>
      <c r="H80" s="7"/>
      <c r="I80" s="7"/>
      <c r="J80" s="7"/>
      <c r="K80" s="7"/>
    </row>
    <row r="81" spans="1:11" x14ac:dyDescent="0.25">
      <c r="A81" s="185"/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1:11" x14ac:dyDescent="0.25">
      <c r="A82" s="185"/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 x14ac:dyDescent="0.25">
      <c r="B83" s="7"/>
      <c r="C83" s="7"/>
      <c r="D83" s="7"/>
      <c r="E83" s="7"/>
      <c r="F83" s="7"/>
      <c r="G83" s="7"/>
      <c r="H83" s="7"/>
      <c r="I83" s="7"/>
      <c r="J83" s="3"/>
      <c r="K83" s="7"/>
    </row>
    <row r="84" spans="1:11" x14ac:dyDescent="0.25">
      <c r="B84" s="1"/>
      <c r="C84" s="1"/>
      <c r="D84" s="1"/>
      <c r="E84" s="1"/>
      <c r="F84" s="1"/>
      <c r="G84" s="1"/>
      <c r="H84" s="1"/>
      <c r="I84" s="7"/>
      <c r="J84" s="7"/>
      <c r="K84" s="7"/>
    </row>
    <row r="85" spans="1:11" x14ac:dyDescent="0.25">
      <c r="B85" s="1"/>
      <c r="C85" s="1"/>
      <c r="D85" s="1"/>
      <c r="E85" s="1"/>
      <c r="F85" s="1"/>
      <c r="G85" s="1"/>
      <c r="H85" s="1"/>
      <c r="I85" s="7"/>
      <c r="J85" s="7"/>
      <c r="K85" s="7"/>
    </row>
    <row r="86" spans="1:11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</row>
    <row r="87" spans="1:11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</row>
    <row r="88" spans="1:11" x14ac:dyDescent="0.25">
      <c r="B88" s="1"/>
      <c r="C88" s="1"/>
      <c r="D88" s="1"/>
      <c r="E88" s="1"/>
      <c r="F88" s="1"/>
      <c r="G88" s="1"/>
      <c r="H88" s="1"/>
      <c r="I88" s="7"/>
      <c r="J88" s="7"/>
      <c r="K88" s="4"/>
    </row>
    <row r="89" spans="1:11" x14ac:dyDescent="0.25">
      <c r="B89" s="1"/>
      <c r="C89" s="1"/>
      <c r="D89" s="1"/>
      <c r="E89" s="1"/>
      <c r="F89" s="1"/>
      <c r="G89" s="1"/>
      <c r="H89" s="1"/>
      <c r="I89" s="5"/>
      <c r="J89" s="5"/>
      <c r="K89" s="7"/>
    </row>
    <row r="90" spans="1:11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</row>
    <row r="91" spans="1:11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11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</row>
    <row r="93" spans="1:11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</row>
  </sheetData>
  <mergeCells count="58">
    <mergeCell ref="C18:I18"/>
    <mergeCell ref="C20:F20"/>
    <mergeCell ref="G20:I20"/>
    <mergeCell ref="B10:J10"/>
    <mergeCell ref="B3:J3"/>
    <mergeCell ref="B4:J4"/>
    <mergeCell ref="B5:J5"/>
    <mergeCell ref="B6:J6"/>
    <mergeCell ref="B7:J7"/>
    <mergeCell ref="C21:F21"/>
    <mergeCell ref="G21:H21"/>
    <mergeCell ref="C22:D22"/>
    <mergeCell ref="E22:F22"/>
    <mergeCell ref="G22:H22"/>
    <mergeCell ref="C23:D23"/>
    <mergeCell ref="E23:F23"/>
    <mergeCell ref="G23:H23"/>
    <mergeCell ref="C24:D24"/>
    <mergeCell ref="E24:F24"/>
    <mergeCell ref="G24:H24"/>
    <mergeCell ref="C25:D25"/>
    <mergeCell ref="E25:F25"/>
    <mergeCell ref="G25:H25"/>
    <mergeCell ref="C26:F26"/>
    <mergeCell ref="G26:H26"/>
    <mergeCell ref="C27:F27"/>
    <mergeCell ref="G27:H27"/>
    <mergeCell ref="C28:D28"/>
    <mergeCell ref="E28:F28"/>
    <mergeCell ref="G28:H28"/>
    <mergeCell ref="E32:F32"/>
    <mergeCell ref="G32:H32"/>
    <mergeCell ref="C33:D33"/>
    <mergeCell ref="E33:F33"/>
    <mergeCell ref="G33:H33"/>
    <mergeCell ref="C32:D32"/>
    <mergeCell ref="C35:F35"/>
    <mergeCell ref="G35:H35"/>
    <mergeCell ref="G36:H36"/>
    <mergeCell ref="B56:G56"/>
    <mergeCell ref="C34:D34"/>
    <mergeCell ref="E34:F34"/>
    <mergeCell ref="G34:H34"/>
    <mergeCell ref="B42:J42"/>
    <mergeCell ref="B43:J43"/>
    <mergeCell ref="B44:B45"/>
    <mergeCell ref="C44:C45"/>
    <mergeCell ref="D44:E44"/>
    <mergeCell ref="F44:G44"/>
    <mergeCell ref="H44:I44"/>
    <mergeCell ref="J44:J45"/>
    <mergeCell ref="C29:F29"/>
    <mergeCell ref="G29:H29"/>
    <mergeCell ref="C30:F30"/>
    <mergeCell ref="G30:H30"/>
    <mergeCell ref="C31:D31"/>
    <mergeCell ref="E31:F31"/>
    <mergeCell ref="G31:H31"/>
  </mergeCells>
  <pageMargins left="0.511811024" right="0.511811024" top="0.78740157499999996" bottom="0.78740157499999996" header="0.31496062000000002" footer="0.31496062000000002"/>
  <pageSetup paperSize="9" scale="4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K1095"/>
  <sheetViews>
    <sheetView view="pageBreakPreview" topLeftCell="A679" zoomScaleNormal="100" zoomScaleSheetLayoutView="100" workbookViewId="0">
      <selection activeCell="A703" sqref="A703:XFD767"/>
    </sheetView>
  </sheetViews>
  <sheetFormatPr defaultRowHeight="12.75" x14ac:dyDescent="0.2"/>
  <cols>
    <col min="1" max="1" width="8.7109375" style="375" customWidth="1"/>
    <col min="2" max="2" width="48.28515625" style="327" customWidth="1"/>
    <col min="3" max="3" width="8.5703125" style="278" customWidth="1"/>
    <col min="4" max="4" width="5.42578125" style="278" customWidth="1"/>
    <col min="5" max="5" width="6.85546875" style="278" customWidth="1"/>
    <col min="6" max="8" width="11.7109375" style="278" customWidth="1"/>
    <col min="9" max="9" width="11.7109375" style="612" customWidth="1"/>
    <col min="10" max="10" width="11.7109375" style="278" customWidth="1"/>
    <col min="11" max="11" width="12" style="278" customWidth="1"/>
    <col min="12" max="16384" width="9.140625" style="274"/>
  </cols>
  <sheetData>
    <row r="1" spans="1:11" ht="56.25" customHeight="1" x14ac:dyDescent="0.2">
      <c r="A1" s="804" t="s">
        <v>110</v>
      </c>
      <c r="B1" s="805"/>
      <c r="C1" s="805"/>
      <c r="D1" s="805"/>
      <c r="E1" s="805"/>
      <c r="F1" s="805"/>
      <c r="G1" s="805"/>
      <c r="H1" s="805"/>
      <c r="I1" s="805"/>
      <c r="J1" s="805"/>
      <c r="K1" s="806"/>
    </row>
    <row r="2" spans="1:11" ht="18" customHeight="1" x14ac:dyDescent="0.2">
      <c r="A2" s="275" t="s">
        <v>111</v>
      </c>
      <c r="B2" s="276"/>
      <c r="C2" s="802"/>
      <c r="D2" s="802"/>
      <c r="E2" s="802"/>
      <c r="F2" s="802"/>
      <c r="G2" s="802"/>
      <c r="H2" s="802"/>
      <c r="I2" s="802"/>
      <c r="J2" s="802"/>
      <c r="K2" s="803"/>
    </row>
    <row r="3" spans="1:11" ht="18" customHeight="1" x14ac:dyDescent="0.2">
      <c r="A3" s="275" t="s">
        <v>315</v>
      </c>
      <c r="B3" s="276"/>
      <c r="C3" s="277" t="s">
        <v>66</v>
      </c>
      <c r="E3" s="810" t="s">
        <v>316</v>
      </c>
      <c r="F3" s="810"/>
      <c r="G3" s="810"/>
      <c r="H3" s="279"/>
      <c r="I3" s="604" t="s">
        <v>112</v>
      </c>
      <c r="J3" s="810" t="s">
        <v>113</v>
      </c>
      <c r="K3" s="811"/>
    </row>
    <row r="4" spans="1:11" x14ac:dyDescent="0.2">
      <c r="A4" s="280" t="s">
        <v>114</v>
      </c>
      <c r="B4" s="281" t="s">
        <v>317</v>
      </c>
      <c r="C4" s="282"/>
      <c r="D4" s="282"/>
      <c r="E4" s="282"/>
      <c r="F4" s="282"/>
      <c r="G4" s="282"/>
      <c r="H4" s="282"/>
      <c r="I4" s="282"/>
      <c r="J4" s="282"/>
      <c r="K4" s="283"/>
    </row>
    <row r="5" spans="1:11" x14ac:dyDescent="0.2">
      <c r="A5" s="284" t="s">
        <v>115</v>
      </c>
      <c r="B5" s="285"/>
      <c r="D5" s="286"/>
      <c r="E5" s="286"/>
      <c r="F5" s="286"/>
      <c r="G5" s="286"/>
      <c r="H5" s="286"/>
      <c r="I5" s="603"/>
      <c r="J5" s="287" t="s">
        <v>52</v>
      </c>
      <c r="K5" s="288" t="s">
        <v>318</v>
      </c>
    </row>
    <row r="6" spans="1:11" ht="23.25" customHeight="1" x14ac:dyDescent="0.2">
      <c r="A6" s="869" t="s">
        <v>319</v>
      </c>
      <c r="B6" s="870"/>
      <c r="C6" s="870"/>
      <c r="D6" s="870"/>
      <c r="E6" s="870"/>
      <c r="F6" s="870"/>
      <c r="G6" s="870"/>
      <c r="H6" s="870"/>
      <c r="I6" s="871"/>
      <c r="J6" s="289" t="s">
        <v>116</v>
      </c>
      <c r="K6" s="288" t="s">
        <v>162</v>
      </c>
    </row>
    <row r="7" spans="1:11" x14ac:dyDescent="0.2">
      <c r="A7" s="826" t="s">
        <v>117</v>
      </c>
      <c r="B7" s="872"/>
      <c r="C7" s="839"/>
      <c r="D7" s="839"/>
      <c r="E7" s="823"/>
      <c r="F7" s="290" t="s">
        <v>54</v>
      </c>
      <c r="G7" s="873" t="s">
        <v>118</v>
      </c>
      <c r="H7" s="874"/>
      <c r="I7" s="813" t="s">
        <v>119</v>
      </c>
      <c r="J7" s="813"/>
      <c r="K7" s="867" t="s">
        <v>120</v>
      </c>
    </row>
    <row r="8" spans="1:11" ht="25.5" x14ac:dyDescent="0.2">
      <c r="A8" s="826"/>
      <c r="B8" s="872"/>
      <c r="C8" s="872"/>
      <c r="D8" s="872"/>
      <c r="E8" s="827"/>
      <c r="F8" s="290"/>
      <c r="G8" s="290" t="s">
        <v>121</v>
      </c>
      <c r="H8" s="381" t="s">
        <v>122</v>
      </c>
      <c r="I8" s="290" t="s">
        <v>123</v>
      </c>
      <c r="J8" s="290" t="s">
        <v>122</v>
      </c>
      <c r="K8" s="868"/>
    </row>
    <row r="9" spans="1:11" s="299" customFormat="1" x14ac:dyDescent="0.25">
      <c r="A9" s="291" t="s">
        <v>320</v>
      </c>
      <c r="B9" s="292" t="s">
        <v>321</v>
      </c>
      <c r="C9" s="292"/>
      <c r="D9" s="292"/>
      <c r="E9" s="293"/>
      <c r="F9" s="294">
        <v>1</v>
      </c>
      <c r="G9" s="295">
        <v>1</v>
      </c>
      <c r="H9" s="296">
        <v>0</v>
      </c>
      <c r="I9" s="602">
        <v>6.3136000000000001</v>
      </c>
      <c r="J9" s="297">
        <v>0.41539999999999999</v>
      </c>
      <c r="K9" s="298">
        <f>ROUND((ROUND((G9*I9+H9*J9),4)*F9),4)</f>
        <v>6.3136000000000001</v>
      </c>
    </row>
    <row r="10" spans="1:11" s="299" customFormat="1" x14ac:dyDescent="0.25">
      <c r="A10" s="300" t="s">
        <v>164</v>
      </c>
      <c r="B10" s="301" t="s">
        <v>165</v>
      </c>
      <c r="C10" s="301"/>
      <c r="D10" s="301"/>
      <c r="E10" s="302"/>
      <c r="F10" s="303">
        <v>1</v>
      </c>
      <c r="G10" s="372">
        <v>0.08</v>
      </c>
      <c r="H10" s="373">
        <v>0.92</v>
      </c>
      <c r="I10" s="601">
        <v>260.17559999999997</v>
      </c>
      <c r="J10" s="321">
        <v>64.616100000000003</v>
      </c>
      <c r="K10" s="374">
        <f>ROUND((ROUND((G10*I10+H10*J10),4)*F10),4)</f>
        <v>80.260900000000007</v>
      </c>
    </row>
    <row r="11" spans="1:11" s="299" customFormat="1" ht="22.5" x14ac:dyDescent="0.25">
      <c r="A11" s="300" t="s">
        <v>322</v>
      </c>
      <c r="B11" s="301" t="s">
        <v>323</v>
      </c>
      <c r="C11" s="301"/>
      <c r="D11" s="301"/>
      <c r="E11" s="302"/>
      <c r="F11" s="303">
        <v>1</v>
      </c>
      <c r="G11" s="372">
        <v>0.27</v>
      </c>
      <c r="H11" s="373">
        <v>0.73</v>
      </c>
      <c r="I11" s="601">
        <v>143.07910000000001</v>
      </c>
      <c r="J11" s="321">
        <v>53.110900000000001</v>
      </c>
      <c r="K11" s="374">
        <f>ROUND((ROUND((G11*I11+H11*J11),4)*F11),4)</f>
        <v>77.402299999999997</v>
      </c>
    </row>
    <row r="12" spans="1:11" s="299" customFormat="1" x14ac:dyDescent="0.25">
      <c r="A12" s="300" t="s">
        <v>324</v>
      </c>
      <c r="B12" s="301" t="s">
        <v>325</v>
      </c>
      <c r="C12" s="301"/>
      <c r="D12" s="301"/>
      <c r="E12" s="302"/>
      <c r="F12" s="303">
        <v>1</v>
      </c>
      <c r="G12" s="372">
        <v>1</v>
      </c>
      <c r="H12" s="373">
        <v>0</v>
      </c>
      <c r="I12" s="601">
        <v>536.93910000000005</v>
      </c>
      <c r="J12" s="321">
        <v>194.43109999999999</v>
      </c>
      <c r="K12" s="374">
        <f>ROUND((ROUND((G12*I12+H12*J12),4)*F12),4)</f>
        <v>536.93910000000005</v>
      </c>
    </row>
    <row r="13" spans="1:11" s="299" customFormat="1" x14ac:dyDescent="0.25">
      <c r="A13" s="300"/>
      <c r="B13" s="301"/>
      <c r="C13" s="301"/>
      <c r="D13" s="301"/>
      <c r="E13" s="302"/>
      <c r="F13" s="303"/>
      <c r="G13" s="304"/>
      <c r="H13" s="305"/>
      <c r="I13" s="600"/>
      <c r="J13" s="306"/>
      <c r="K13" s="307"/>
    </row>
    <row r="14" spans="1:11" s="299" customFormat="1" x14ac:dyDescent="0.25">
      <c r="A14" s="300"/>
      <c r="B14" s="301"/>
      <c r="C14" s="301"/>
      <c r="D14" s="301"/>
      <c r="E14" s="302"/>
      <c r="F14" s="303"/>
      <c r="G14" s="304"/>
      <c r="H14" s="305"/>
      <c r="I14" s="600"/>
      <c r="J14" s="306"/>
      <c r="K14" s="307"/>
    </row>
    <row r="15" spans="1:11" s="299" customFormat="1" x14ac:dyDescent="0.25">
      <c r="A15" s="300"/>
      <c r="B15" s="301"/>
      <c r="C15" s="301"/>
      <c r="D15" s="301"/>
      <c r="E15" s="302"/>
      <c r="F15" s="303"/>
      <c r="G15" s="304"/>
      <c r="H15" s="305"/>
      <c r="I15" s="600"/>
      <c r="J15" s="306"/>
      <c r="K15" s="307"/>
    </row>
    <row r="16" spans="1:11" s="299" customFormat="1" x14ac:dyDescent="0.25">
      <c r="A16" s="308"/>
      <c r="B16" s="309"/>
      <c r="C16" s="309"/>
      <c r="D16" s="309"/>
      <c r="E16" s="310"/>
      <c r="F16" s="311"/>
      <c r="G16" s="312"/>
      <c r="H16" s="313"/>
      <c r="I16" s="611"/>
      <c r="J16" s="314"/>
      <c r="K16" s="315"/>
    </row>
    <row r="17" spans="1:11" x14ac:dyDescent="0.2">
      <c r="A17" s="861" t="s">
        <v>124</v>
      </c>
      <c r="B17" s="862"/>
      <c r="C17" s="862"/>
      <c r="D17" s="862"/>
      <c r="E17" s="862"/>
      <c r="F17" s="837"/>
      <c r="G17" s="837"/>
      <c r="H17" s="837"/>
      <c r="I17" s="837"/>
      <c r="J17" s="838"/>
      <c r="K17" s="316">
        <f>SUM(K9:K16)</f>
        <v>700.91590000000008</v>
      </c>
    </row>
    <row r="18" spans="1:11" ht="15.75" customHeight="1" x14ac:dyDescent="0.2">
      <c r="A18" s="822" t="s">
        <v>125</v>
      </c>
      <c r="B18" s="839"/>
      <c r="C18" s="839"/>
      <c r="D18" s="839"/>
      <c r="E18" s="839"/>
      <c r="F18" s="317"/>
      <c r="G18" s="317"/>
      <c r="H18" s="863" t="s">
        <v>54</v>
      </c>
      <c r="I18" s="865" t="s">
        <v>126</v>
      </c>
      <c r="J18" s="867" t="s">
        <v>127</v>
      </c>
      <c r="K18" s="867" t="s">
        <v>120</v>
      </c>
    </row>
    <row r="19" spans="1:11" ht="21.75" customHeight="1" x14ac:dyDescent="0.25">
      <c r="A19" s="824"/>
      <c r="B19" s="840"/>
      <c r="C19" s="840"/>
      <c r="D19" s="840"/>
      <c r="E19" s="840"/>
      <c r="F19" s="318"/>
      <c r="G19" s="269"/>
      <c r="H19" s="864"/>
      <c r="I19" s="866"/>
      <c r="J19" s="868"/>
      <c r="K19" s="868"/>
    </row>
    <row r="20" spans="1:11" x14ac:dyDescent="0.2">
      <c r="A20" s="319" t="s">
        <v>128</v>
      </c>
      <c r="B20" s="859" t="s">
        <v>129</v>
      </c>
      <c r="C20" s="859"/>
      <c r="D20" s="859"/>
      <c r="E20" s="859"/>
      <c r="F20" s="859"/>
      <c r="G20" s="860"/>
      <c r="H20" s="320">
        <v>3</v>
      </c>
      <c r="I20" s="609" t="s">
        <v>130</v>
      </c>
      <c r="J20" s="321">
        <v>18.5961</v>
      </c>
      <c r="K20" s="322">
        <f>ROUND((H20*J20),4)</f>
        <v>55.7883</v>
      </c>
    </row>
    <row r="21" spans="1:11" x14ac:dyDescent="0.2">
      <c r="A21" s="323"/>
      <c r="B21" s="849"/>
      <c r="C21" s="849"/>
      <c r="D21" s="849"/>
      <c r="E21" s="849"/>
      <c r="F21" s="849"/>
      <c r="G21" s="850"/>
      <c r="H21" s="320"/>
      <c r="I21" s="609"/>
      <c r="J21" s="306"/>
      <c r="K21" s="306"/>
    </row>
    <row r="22" spans="1:11" x14ac:dyDescent="0.2">
      <c r="A22" s="323"/>
      <c r="B22" s="849"/>
      <c r="C22" s="849"/>
      <c r="D22" s="849"/>
      <c r="E22" s="849"/>
      <c r="F22" s="849"/>
      <c r="G22" s="850"/>
      <c r="H22" s="320"/>
      <c r="I22" s="609"/>
      <c r="J22" s="306"/>
      <c r="K22" s="306"/>
    </row>
    <row r="23" spans="1:11" x14ac:dyDescent="0.2">
      <c r="A23" s="323"/>
      <c r="B23" s="849"/>
      <c r="C23" s="849"/>
      <c r="D23" s="849"/>
      <c r="E23" s="849"/>
      <c r="F23" s="849"/>
      <c r="G23" s="850"/>
      <c r="H23" s="320"/>
      <c r="I23" s="609"/>
      <c r="J23" s="306"/>
      <c r="K23" s="306"/>
    </row>
    <row r="24" spans="1:11" x14ac:dyDescent="0.2">
      <c r="A24" s="323"/>
      <c r="B24" s="849"/>
      <c r="C24" s="849"/>
      <c r="D24" s="849"/>
      <c r="E24" s="849"/>
      <c r="F24" s="849"/>
      <c r="G24" s="850"/>
      <c r="H24" s="320"/>
      <c r="I24" s="609"/>
      <c r="J24" s="306"/>
      <c r="K24" s="306"/>
    </row>
    <row r="25" spans="1:11" x14ac:dyDescent="0.2">
      <c r="A25" s="323"/>
      <c r="B25" s="849"/>
      <c r="C25" s="849"/>
      <c r="D25" s="849"/>
      <c r="E25" s="849"/>
      <c r="F25" s="849"/>
      <c r="G25" s="850"/>
      <c r="H25" s="320"/>
      <c r="I25" s="609"/>
      <c r="J25" s="306"/>
      <c r="K25" s="306"/>
    </row>
    <row r="26" spans="1:11" x14ac:dyDescent="0.2">
      <c r="A26" s="323"/>
      <c r="B26" s="849"/>
      <c r="C26" s="849"/>
      <c r="D26" s="849"/>
      <c r="E26" s="849"/>
      <c r="F26" s="849"/>
      <c r="G26" s="850"/>
      <c r="H26" s="320"/>
      <c r="I26" s="609"/>
      <c r="J26" s="306"/>
      <c r="K26" s="306"/>
    </row>
    <row r="27" spans="1:11" x14ac:dyDescent="0.2">
      <c r="A27" s="324"/>
      <c r="B27" s="851"/>
      <c r="C27" s="851"/>
      <c r="D27" s="851"/>
      <c r="E27" s="851"/>
      <c r="F27" s="851"/>
      <c r="G27" s="852"/>
      <c r="H27" s="325"/>
      <c r="I27" s="608"/>
      <c r="J27" s="314"/>
      <c r="K27" s="314"/>
    </row>
    <row r="28" spans="1:11" ht="15" x14ac:dyDescent="0.25">
      <c r="A28" s="326"/>
      <c r="C28" s="270"/>
      <c r="D28" s="836" t="s">
        <v>131</v>
      </c>
      <c r="E28" s="837"/>
      <c r="F28" s="837"/>
      <c r="G28" s="837"/>
      <c r="H28" s="837"/>
      <c r="I28" s="837"/>
      <c r="J28" s="838"/>
      <c r="K28" s="328">
        <f>SUM(K20:K27)</f>
        <v>55.7883</v>
      </c>
    </row>
    <row r="29" spans="1:11" x14ac:dyDescent="0.2">
      <c r="A29" s="326" t="s">
        <v>132</v>
      </c>
      <c r="B29" s="329"/>
      <c r="C29" s="330">
        <v>14.76</v>
      </c>
      <c r="D29" s="853" t="s">
        <v>133</v>
      </c>
      <c r="E29" s="854"/>
      <c r="F29" s="854"/>
      <c r="G29" s="854"/>
      <c r="H29" s="854"/>
      <c r="I29" s="854"/>
      <c r="J29" s="855"/>
      <c r="K29" s="328">
        <f>K17+K28</f>
        <v>756.70420000000013</v>
      </c>
    </row>
    <row r="30" spans="1:11" x14ac:dyDescent="0.2">
      <c r="A30" s="331"/>
      <c r="B30" s="329"/>
      <c r="C30" s="332"/>
      <c r="D30" s="856" t="s">
        <v>134</v>
      </c>
      <c r="E30" s="856"/>
      <c r="F30" s="857"/>
      <c r="G30" s="857"/>
      <c r="H30" s="857"/>
      <c r="I30" s="857"/>
      <c r="J30" s="858"/>
      <c r="K30" s="328">
        <f>ROUND((K29/C29),4)</f>
        <v>51.267200000000003</v>
      </c>
    </row>
    <row r="31" spans="1:11" x14ac:dyDescent="0.2">
      <c r="A31" s="326"/>
      <c r="B31" s="329"/>
      <c r="C31" s="333"/>
      <c r="D31" s="380"/>
      <c r="E31" s="380"/>
      <c r="F31" s="380"/>
      <c r="G31" s="380"/>
      <c r="H31" s="380"/>
      <c r="I31" s="610" t="s">
        <v>135</v>
      </c>
      <c r="J31" s="334" t="s">
        <v>160</v>
      </c>
      <c r="K31" s="328">
        <v>0</v>
      </c>
    </row>
    <row r="32" spans="1:11" x14ac:dyDescent="0.2">
      <c r="A32" s="326"/>
      <c r="B32" s="329"/>
      <c r="C32" s="333"/>
      <c r="D32" s="380"/>
      <c r="E32" s="380"/>
      <c r="F32" s="380"/>
      <c r="G32" s="380"/>
      <c r="H32" s="380"/>
      <c r="I32" s="610" t="s">
        <v>136</v>
      </c>
      <c r="J32" s="334">
        <v>14.23</v>
      </c>
      <c r="K32" s="328">
        <v>11.5677</v>
      </c>
    </row>
    <row r="33" spans="1:11" x14ac:dyDescent="0.2">
      <c r="A33" s="822" t="s">
        <v>137</v>
      </c>
      <c r="B33" s="839"/>
      <c r="C33" s="839"/>
      <c r="D33" s="839"/>
      <c r="E33" s="839"/>
      <c r="F33" s="841"/>
      <c r="G33" s="843" t="s">
        <v>42</v>
      </c>
      <c r="H33" s="844"/>
      <c r="I33" s="831" t="s">
        <v>126</v>
      </c>
      <c r="J33" s="830" t="s">
        <v>138</v>
      </c>
      <c r="K33" s="830" t="s">
        <v>139</v>
      </c>
    </row>
    <row r="34" spans="1:11" x14ac:dyDescent="0.2">
      <c r="A34" s="824"/>
      <c r="B34" s="840"/>
      <c r="C34" s="840"/>
      <c r="D34" s="840"/>
      <c r="E34" s="840"/>
      <c r="F34" s="842"/>
      <c r="G34" s="845"/>
      <c r="H34" s="846"/>
      <c r="I34" s="831"/>
      <c r="J34" s="830"/>
      <c r="K34" s="831"/>
    </row>
    <row r="35" spans="1:11" x14ac:dyDescent="0.2">
      <c r="A35" s="323" t="s">
        <v>326</v>
      </c>
      <c r="B35" s="301" t="s">
        <v>327</v>
      </c>
      <c r="C35" s="301"/>
      <c r="D35" s="301"/>
      <c r="E35" s="301"/>
      <c r="F35" s="293"/>
      <c r="G35" s="847">
        <v>0.8</v>
      </c>
      <c r="H35" s="848"/>
      <c r="I35" s="599" t="s">
        <v>157</v>
      </c>
      <c r="J35" s="360">
        <v>37.283000000000001</v>
      </c>
      <c r="K35" s="361">
        <f>ROUND((G35*J35),4)</f>
        <v>29.8264</v>
      </c>
    </row>
    <row r="36" spans="1:11" ht="22.5" x14ac:dyDescent="0.2">
      <c r="A36" s="323" t="s">
        <v>328</v>
      </c>
      <c r="B36" s="301" t="s">
        <v>329</v>
      </c>
      <c r="C36" s="301"/>
      <c r="D36" s="301"/>
      <c r="E36" s="301"/>
      <c r="F36" s="302"/>
      <c r="G36" s="832">
        <v>2.31E-3</v>
      </c>
      <c r="H36" s="833"/>
      <c r="I36" s="606" t="s">
        <v>157</v>
      </c>
      <c r="J36" s="362">
        <v>299.45929999999998</v>
      </c>
      <c r="K36" s="322">
        <f>ROUND((G36*J36),4)</f>
        <v>0.69179999999999997</v>
      </c>
    </row>
    <row r="37" spans="1:11" x14ac:dyDescent="0.2">
      <c r="A37" s="323" t="s">
        <v>330</v>
      </c>
      <c r="B37" s="301" t="s">
        <v>331</v>
      </c>
      <c r="C37" s="301"/>
      <c r="D37" s="301"/>
      <c r="E37" s="301"/>
      <c r="F37" s="302"/>
      <c r="G37" s="832">
        <v>1</v>
      </c>
      <c r="H37" s="833"/>
      <c r="I37" s="606" t="s">
        <v>163</v>
      </c>
      <c r="J37" s="362">
        <v>0</v>
      </c>
      <c r="K37" s="322">
        <f>ROUND((G37*J37),4)</f>
        <v>0</v>
      </c>
    </row>
    <row r="38" spans="1:11" x14ac:dyDescent="0.2">
      <c r="A38" s="323"/>
      <c r="B38" s="301"/>
      <c r="C38" s="301"/>
      <c r="D38" s="301"/>
      <c r="E38" s="301"/>
      <c r="F38" s="302"/>
      <c r="G38" s="832"/>
      <c r="H38" s="833"/>
      <c r="I38" s="606"/>
      <c r="J38" s="337"/>
      <c r="K38" s="306"/>
    </row>
    <row r="39" spans="1:11" x14ac:dyDescent="0.2">
      <c r="A39" s="836" t="s">
        <v>140</v>
      </c>
      <c r="B39" s="837"/>
      <c r="C39" s="837"/>
      <c r="D39" s="837"/>
      <c r="E39" s="837"/>
      <c r="F39" s="837"/>
      <c r="G39" s="837"/>
      <c r="H39" s="837"/>
      <c r="I39" s="837"/>
      <c r="J39" s="838"/>
      <c r="K39" s="328">
        <f>SUM(K35:K38)</f>
        <v>30.5182</v>
      </c>
    </row>
    <row r="40" spans="1:11" x14ac:dyDescent="0.2">
      <c r="A40" s="822" t="s">
        <v>141</v>
      </c>
      <c r="B40" s="839"/>
      <c r="C40" s="839"/>
      <c r="D40" s="839"/>
      <c r="E40" s="839"/>
      <c r="F40" s="841"/>
      <c r="G40" s="843" t="s">
        <v>42</v>
      </c>
      <c r="H40" s="844"/>
      <c r="I40" s="831" t="s">
        <v>126</v>
      </c>
      <c r="J40" s="830" t="s">
        <v>138</v>
      </c>
      <c r="K40" s="830" t="s">
        <v>139</v>
      </c>
    </row>
    <row r="41" spans="1:11" x14ac:dyDescent="0.2">
      <c r="A41" s="824"/>
      <c r="B41" s="840"/>
      <c r="C41" s="840"/>
      <c r="D41" s="840"/>
      <c r="E41" s="840"/>
      <c r="F41" s="842"/>
      <c r="G41" s="845"/>
      <c r="H41" s="846"/>
      <c r="I41" s="831"/>
      <c r="J41" s="830"/>
      <c r="K41" s="831"/>
    </row>
    <row r="42" spans="1:11" x14ac:dyDescent="0.2">
      <c r="A42" s="323"/>
      <c r="B42" s="301"/>
      <c r="C42" s="301"/>
      <c r="D42" s="301"/>
      <c r="E42" s="301"/>
      <c r="F42" s="302"/>
      <c r="G42" s="832"/>
      <c r="H42" s="833"/>
      <c r="I42" s="606"/>
      <c r="J42" s="337"/>
      <c r="K42" s="306"/>
    </row>
    <row r="43" spans="1:11" x14ac:dyDescent="0.2">
      <c r="A43" s="323"/>
      <c r="B43" s="301"/>
      <c r="C43" s="301"/>
      <c r="D43" s="301"/>
      <c r="E43" s="301"/>
      <c r="F43" s="302"/>
      <c r="G43" s="832"/>
      <c r="H43" s="833"/>
      <c r="I43" s="606"/>
      <c r="J43" s="337"/>
      <c r="K43" s="306"/>
    </row>
    <row r="44" spans="1:11" x14ac:dyDescent="0.2">
      <c r="A44" s="323"/>
      <c r="B44" s="301"/>
      <c r="C44" s="301"/>
      <c r="D44" s="301"/>
      <c r="E44" s="301"/>
      <c r="F44" s="302"/>
      <c r="G44" s="832"/>
      <c r="H44" s="833"/>
      <c r="I44" s="606"/>
      <c r="J44" s="337"/>
      <c r="K44" s="306"/>
    </row>
    <row r="45" spans="1:11" x14ac:dyDescent="0.2">
      <c r="A45" s="324"/>
      <c r="B45" s="309"/>
      <c r="C45" s="309"/>
      <c r="D45" s="309"/>
      <c r="E45" s="309"/>
      <c r="F45" s="310"/>
      <c r="G45" s="834"/>
      <c r="H45" s="835"/>
      <c r="I45" s="605"/>
      <c r="J45" s="339"/>
      <c r="K45" s="314"/>
    </row>
    <row r="46" spans="1:11" x14ac:dyDescent="0.2">
      <c r="A46" s="836" t="s">
        <v>142</v>
      </c>
      <c r="B46" s="837"/>
      <c r="C46" s="837"/>
      <c r="D46" s="837"/>
      <c r="E46" s="837"/>
      <c r="F46" s="837"/>
      <c r="G46" s="837"/>
      <c r="H46" s="837"/>
      <c r="I46" s="837"/>
      <c r="J46" s="838"/>
      <c r="K46" s="338"/>
    </row>
    <row r="47" spans="1:11" x14ac:dyDescent="0.2">
      <c r="A47" s="822" t="s">
        <v>143</v>
      </c>
      <c r="B47" s="839"/>
      <c r="C47" s="839"/>
      <c r="D47" s="839"/>
      <c r="E47" s="839"/>
      <c r="F47" s="841"/>
      <c r="G47" s="843" t="s">
        <v>42</v>
      </c>
      <c r="H47" s="844"/>
      <c r="I47" s="831" t="s">
        <v>126</v>
      </c>
      <c r="J47" s="830" t="s">
        <v>138</v>
      </c>
      <c r="K47" s="830" t="s">
        <v>139</v>
      </c>
    </row>
    <row r="48" spans="1:11" x14ac:dyDescent="0.2">
      <c r="A48" s="824"/>
      <c r="B48" s="840"/>
      <c r="C48" s="840"/>
      <c r="D48" s="840"/>
      <c r="E48" s="840"/>
      <c r="F48" s="842"/>
      <c r="G48" s="845"/>
      <c r="H48" s="846"/>
      <c r="I48" s="831"/>
      <c r="J48" s="830"/>
      <c r="K48" s="831"/>
    </row>
    <row r="49" spans="1:11" x14ac:dyDescent="0.2">
      <c r="A49" s="323" t="s">
        <v>332</v>
      </c>
      <c r="B49" s="301" t="s">
        <v>333</v>
      </c>
      <c r="C49" s="301"/>
      <c r="D49" s="301"/>
      <c r="E49" s="301"/>
      <c r="F49" s="302"/>
      <c r="G49" s="832">
        <v>2.4</v>
      </c>
      <c r="H49" s="833"/>
      <c r="I49" s="606" t="s">
        <v>158</v>
      </c>
      <c r="J49" s="362">
        <v>8.36</v>
      </c>
      <c r="K49" s="322">
        <f>ROUND((G49*J49),4)</f>
        <v>20.064</v>
      </c>
    </row>
    <row r="50" spans="1:11" x14ac:dyDescent="0.2">
      <c r="A50" s="323"/>
      <c r="B50" s="301"/>
      <c r="C50" s="301"/>
      <c r="D50" s="301"/>
      <c r="E50" s="301"/>
      <c r="F50" s="302"/>
      <c r="G50" s="832"/>
      <c r="H50" s="833"/>
      <c r="I50" s="606"/>
      <c r="J50" s="337"/>
      <c r="K50" s="306"/>
    </row>
    <row r="51" spans="1:11" x14ac:dyDescent="0.2">
      <c r="A51" s="323"/>
      <c r="B51" s="301"/>
      <c r="C51" s="301"/>
      <c r="D51" s="301"/>
      <c r="E51" s="301"/>
      <c r="F51" s="302"/>
      <c r="G51" s="832"/>
      <c r="H51" s="833"/>
      <c r="I51" s="606"/>
      <c r="J51" s="337"/>
      <c r="K51" s="306"/>
    </row>
    <row r="52" spans="1:11" x14ac:dyDescent="0.2">
      <c r="A52" s="324"/>
      <c r="B52" s="309"/>
      <c r="C52" s="309"/>
      <c r="D52" s="309"/>
      <c r="E52" s="309"/>
      <c r="F52" s="310"/>
      <c r="G52" s="834"/>
      <c r="H52" s="835"/>
      <c r="I52" s="605"/>
      <c r="J52" s="339"/>
      <c r="K52" s="314"/>
    </row>
    <row r="53" spans="1:11" x14ac:dyDescent="0.2">
      <c r="A53" s="836" t="s">
        <v>144</v>
      </c>
      <c r="B53" s="837"/>
      <c r="C53" s="837"/>
      <c r="D53" s="837"/>
      <c r="E53" s="837"/>
      <c r="F53" s="837"/>
      <c r="G53" s="837"/>
      <c r="H53" s="837"/>
      <c r="I53" s="837"/>
      <c r="J53" s="838"/>
      <c r="K53" s="328">
        <f>SUM(K49:K52)</f>
        <v>20.064</v>
      </c>
    </row>
    <row r="54" spans="1:11" x14ac:dyDescent="0.2">
      <c r="A54" s="822" t="s">
        <v>145</v>
      </c>
      <c r="B54" s="823"/>
      <c r="C54" s="820" t="s">
        <v>146</v>
      </c>
      <c r="D54" s="340" t="s">
        <v>147</v>
      </c>
      <c r="E54" s="818" t="s">
        <v>148</v>
      </c>
      <c r="F54" s="818"/>
      <c r="G54" s="819"/>
      <c r="H54" s="814" t="s">
        <v>149</v>
      </c>
      <c r="I54" s="815"/>
      <c r="J54" s="816"/>
      <c r="K54" s="812" t="s">
        <v>150</v>
      </c>
    </row>
    <row r="55" spans="1:11" x14ac:dyDescent="0.2">
      <c r="A55" s="826"/>
      <c r="B55" s="827"/>
      <c r="C55" s="821"/>
      <c r="D55" s="341"/>
      <c r="E55" s="378" t="s">
        <v>151</v>
      </c>
      <c r="F55" s="342" t="s">
        <v>152</v>
      </c>
      <c r="G55" s="343" t="s">
        <v>153</v>
      </c>
      <c r="H55" s="378" t="s">
        <v>151</v>
      </c>
      <c r="I55" s="342" t="s">
        <v>152</v>
      </c>
      <c r="J55" s="342" t="s">
        <v>153</v>
      </c>
      <c r="K55" s="813"/>
    </row>
    <row r="56" spans="1:11" x14ac:dyDescent="0.2">
      <c r="A56" s="319" t="s">
        <v>334</v>
      </c>
      <c r="B56" s="293" t="s">
        <v>333</v>
      </c>
      <c r="C56" s="363">
        <v>2.4</v>
      </c>
      <c r="D56" s="345" t="s">
        <v>159</v>
      </c>
      <c r="E56" s="364">
        <v>1.29</v>
      </c>
      <c r="F56" s="365">
        <v>1.03</v>
      </c>
      <c r="G56" s="366">
        <v>0.83</v>
      </c>
      <c r="H56" s="367">
        <v>0</v>
      </c>
      <c r="I56" s="607">
        <v>0</v>
      </c>
      <c r="J56" s="368">
        <v>5</v>
      </c>
      <c r="K56" s="361">
        <f>ROUND((ROUND(E56*H56+F56*I56+G56*J56,2)*C56),4)</f>
        <v>9.9600000000000009</v>
      </c>
    </row>
    <row r="57" spans="1:11" x14ac:dyDescent="0.2">
      <c r="A57" s="323"/>
      <c r="B57" s="301"/>
      <c r="C57" s="344"/>
      <c r="D57" s="350"/>
      <c r="E57" s="351"/>
      <c r="F57" s="352"/>
      <c r="G57" s="353"/>
      <c r="H57" s="379"/>
      <c r="I57" s="613"/>
      <c r="J57" s="349"/>
      <c r="K57" s="306"/>
    </row>
    <row r="58" spans="1:11" x14ac:dyDescent="0.2">
      <c r="A58" s="323"/>
      <c r="B58" s="301"/>
      <c r="C58" s="344"/>
      <c r="D58" s="350"/>
      <c r="E58" s="351"/>
      <c r="F58" s="352"/>
      <c r="G58" s="353"/>
      <c r="H58" s="379"/>
      <c r="I58" s="613"/>
      <c r="J58" s="349"/>
      <c r="K58" s="306"/>
    </row>
    <row r="59" spans="1:11" x14ac:dyDescent="0.2">
      <c r="A59" s="324"/>
      <c r="B59" s="309"/>
      <c r="C59" s="354"/>
      <c r="D59" s="355"/>
      <c r="E59" s="356"/>
      <c r="F59" s="357"/>
      <c r="G59" s="358"/>
      <c r="H59" s="379"/>
      <c r="I59" s="613"/>
      <c r="J59" s="349"/>
      <c r="K59" s="314"/>
    </row>
    <row r="60" spans="1:11" x14ac:dyDescent="0.2">
      <c r="A60" s="828" t="s">
        <v>154</v>
      </c>
      <c r="B60" s="808"/>
      <c r="C60" s="808"/>
      <c r="D60" s="829"/>
      <c r="E60" s="808"/>
      <c r="F60" s="808"/>
      <c r="G60" s="808"/>
      <c r="H60" s="808"/>
      <c r="I60" s="808"/>
      <c r="J60" s="809"/>
      <c r="K60" s="328">
        <f>SUM(K56:K59)</f>
        <v>9.9600000000000009</v>
      </c>
    </row>
    <row r="61" spans="1:11" x14ac:dyDescent="0.2">
      <c r="A61" s="807" t="s">
        <v>155</v>
      </c>
      <c r="B61" s="808"/>
      <c r="C61" s="808"/>
      <c r="D61" s="808"/>
      <c r="E61" s="808"/>
      <c r="F61" s="808"/>
      <c r="G61" s="808"/>
      <c r="H61" s="808"/>
      <c r="I61" s="808"/>
      <c r="J61" s="809"/>
      <c r="K61" s="359">
        <f>ROUND((K30+K31+K32+K39+K53+K60),2)</f>
        <v>123.38</v>
      </c>
    </row>
    <row r="62" spans="1:11" x14ac:dyDescent="0.2">
      <c r="A62" s="807" t="s">
        <v>23</v>
      </c>
      <c r="B62" s="808"/>
      <c r="C62" s="808"/>
      <c r="D62" s="808"/>
      <c r="E62" s="808"/>
      <c r="F62" s="808"/>
      <c r="G62" s="808"/>
      <c r="H62" s="808"/>
      <c r="I62" s="808"/>
      <c r="J62" s="809"/>
      <c r="K62" s="359">
        <f>ROUND((K61*  26.76/100),4)</f>
        <v>33.016500000000001</v>
      </c>
    </row>
    <row r="63" spans="1:11" x14ac:dyDescent="0.2">
      <c r="A63" s="807" t="s">
        <v>156</v>
      </c>
      <c r="B63" s="808"/>
      <c r="C63" s="808"/>
      <c r="D63" s="808"/>
      <c r="E63" s="808"/>
      <c r="F63" s="808"/>
      <c r="G63" s="808"/>
      <c r="H63" s="808"/>
      <c r="I63" s="808"/>
      <c r="J63" s="809"/>
      <c r="K63" s="359">
        <f>K61+K62</f>
        <v>156.3965</v>
      </c>
    </row>
    <row r="66" spans="1:11" ht="56.25" customHeight="1" x14ac:dyDescent="0.2">
      <c r="A66" s="804" t="s">
        <v>110</v>
      </c>
      <c r="B66" s="805"/>
      <c r="C66" s="805"/>
      <c r="D66" s="805"/>
      <c r="E66" s="805"/>
      <c r="F66" s="805"/>
      <c r="G66" s="805"/>
      <c r="H66" s="805"/>
      <c r="I66" s="805"/>
      <c r="J66" s="805"/>
      <c r="K66" s="806"/>
    </row>
    <row r="67" spans="1:11" ht="18" customHeight="1" x14ac:dyDescent="0.2">
      <c r="A67" s="275" t="s">
        <v>111</v>
      </c>
      <c r="B67" s="276"/>
      <c r="C67" s="802"/>
      <c r="D67" s="802"/>
      <c r="E67" s="802"/>
      <c r="F67" s="802"/>
      <c r="G67" s="802"/>
      <c r="H67" s="802"/>
      <c r="I67" s="802"/>
      <c r="J67" s="802"/>
      <c r="K67" s="803"/>
    </row>
    <row r="68" spans="1:11" ht="18" customHeight="1" x14ac:dyDescent="0.2">
      <c r="A68" s="275" t="s">
        <v>315</v>
      </c>
      <c r="B68" s="276"/>
      <c r="C68" s="277" t="s">
        <v>66</v>
      </c>
      <c r="E68" s="810" t="s">
        <v>316</v>
      </c>
      <c r="F68" s="810"/>
      <c r="G68" s="810"/>
      <c r="H68" s="279"/>
      <c r="I68" s="604" t="s">
        <v>112</v>
      </c>
      <c r="J68" s="810" t="s">
        <v>113</v>
      </c>
      <c r="K68" s="811"/>
    </row>
    <row r="69" spans="1:11" x14ac:dyDescent="0.2">
      <c r="A69" s="280" t="s">
        <v>114</v>
      </c>
      <c r="B69" s="281" t="s">
        <v>335</v>
      </c>
      <c r="C69" s="282"/>
      <c r="D69" s="282"/>
      <c r="E69" s="282"/>
      <c r="F69" s="282"/>
      <c r="G69" s="282"/>
      <c r="H69" s="282"/>
      <c r="I69" s="282"/>
      <c r="J69" s="282"/>
      <c r="K69" s="283"/>
    </row>
    <row r="70" spans="1:11" x14ac:dyDescent="0.2">
      <c r="A70" s="284" t="s">
        <v>115</v>
      </c>
      <c r="B70" s="285"/>
      <c r="D70" s="286"/>
      <c r="E70" s="286"/>
      <c r="F70" s="286"/>
      <c r="G70" s="286"/>
      <c r="H70" s="286"/>
      <c r="I70" s="603"/>
      <c r="J70" s="287" t="s">
        <v>52</v>
      </c>
      <c r="K70" s="288" t="s">
        <v>318</v>
      </c>
    </row>
    <row r="71" spans="1:11" ht="23.25" customHeight="1" x14ac:dyDescent="0.2">
      <c r="A71" s="869" t="s">
        <v>336</v>
      </c>
      <c r="B71" s="870"/>
      <c r="C71" s="870"/>
      <c r="D71" s="870"/>
      <c r="E71" s="870"/>
      <c r="F71" s="870"/>
      <c r="G71" s="870"/>
      <c r="H71" s="870"/>
      <c r="I71" s="871"/>
      <c r="J71" s="289" t="s">
        <v>116</v>
      </c>
      <c r="K71" s="288" t="s">
        <v>337</v>
      </c>
    </row>
    <row r="72" spans="1:11" x14ac:dyDescent="0.2">
      <c r="A72" s="826" t="s">
        <v>117</v>
      </c>
      <c r="B72" s="872"/>
      <c r="C72" s="839"/>
      <c r="D72" s="839"/>
      <c r="E72" s="823"/>
      <c r="F72" s="290" t="s">
        <v>54</v>
      </c>
      <c r="G72" s="873" t="s">
        <v>118</v>
      </c>
      <c r="H72" s="874"/>
      <c r="I72" s="813" t="s">
        <v>119</v>
      </c>
      <c r="J72" s="813"/>
      <c r="K72" s="867" t="s">
        <v>120</v>
      </c>
    </row>
    <row r="73" spans="1:11" ht="25.5" x14ac:dyDescent="0.2">
      <c r="A73" s="826"/>
      <c r="B73" s="872"/>
      <c r="C73" s="872"/>
      <c r="D73" s="872"/>
      <c r="E73" s="827"/>
      <c r="F73" s="290"/>
      <c r="G73" s="290" t="s">
        <v>121</v>
      </c>
      <c r="H73" s="381" t="s">
        <v>122</v>
      </c>
      <c r="I73" s="290" t="s">
        <v>123</v>
      </c>
      <c r="J73" s="290" t="s">
        <v>122</v>
      </c>
      <c r="K73" s="868"/>
    </row>
    <row r="74" spans="1:11" s="299" customFormat="1" ht="22.5" x14ac:dyDescent="0.25">
      <c r="A74" s="291" t="s">
        <v>338</v>
      </c>
      <c r="B74" s="292" t="s">
        <v>339</v>
      </c>
      <c r="C74" s="292"/>
      <c r="D74" s="292"/>
      <c r="E74" s="293"/>
      <c r="F74" s="294">
        <v>1</v>
      </c>
      <c r="G74" s="295">
        <v>1</v>
      </c>
      <c r="H74" s="296">
        <v>0</v>
      </c>
      <c r="I74" s="602">
        <v>271.87700000000001</v>
      </c>
      <c r="J74" s="297">
        <v>66.677300000000002</v>
      </c>
      <c r="K74" s="298">
        <f>ROUND((ROUND((G74*I74+H74*J74),4)*F74),4)</f>
        <v>271.87700000000001</v>
      </c>
    </row>
    <row r="75" spans="1:11" s="299" customFormat="1" ht="22.5" x14ac:dyDescent="0.25">
      <c r="A75" s="300" t="s">
        <v>340</v>
      </c>
      <c r="B75" s="301" t="s">
        <v>341</v>
      </c>
      <c r="C75" s="301"/>
      <c r="D75" s="301"/>
      <c r="E75" s="302"/>
      <c r="F75" s="303">
        <v>2</v>
      </c>
      <c r="G75" s="372">
        <v>1</v>
      </c>
      <c r="H75" s="373">
        <v>0</v>
      </c>
      <c r="I75" s="601">
        <v>54.258699999999997</v>
      </c>
      <c r="J75" s="321">
        <v>37.0627</v>
      </c>
      <c r="K75" s="374">
        <f>ROUND((ROUND((G75*I75+H75*J75),4)*F75),4)</f>
        <v>108.51739999999999</v>
      </c>
    </row>
    <row r="76" spans="1:11" s="299" customFormat="1" x14ac:dyDescent="0.25">
      <c r="A76" s="300"/>
      <c r="B76" s="301"/>
      <c r="C76" s="301"/>
      <c r="D76" s="301"/>
      <c r="E76" s="302"/>
      <c r="F76" s="303"/>
      <c r="G76" s="304"/>
      <c r="H76" s="305"/>
      <c r="I76" s="600"/>
      <c r="J76" s="306"/>
      <c r="K76" s="307"/>
    </row>
    <row r="77" spans="1:11" s="299" customFormat="1" x14ac:dyDescent="0.25">
      <c r="A77" s="300"/>
      <c r="B77" s="301"/>
      <c r="C77" s="301"/>
      <c r="D77" s="301"/>
      <c r="E77" s="302"/>
      <c r="F77" s="303"/>
      <c r="G77" s="304"/>
      <c r="H77" s="305"/>
      <c r="I77" s="600"/>
      <c r="J77" s="306"/>
      <c r="K77" s="307"/>
    </row>
    <row r="78" spans="1:11" s="299" customFormat="1" x14ac:dyDescent="0.25">
      <c r="A78" s="300"/>
      <c r="B78" s="301"/>
      <c r="C78" s="301"/>
      <c r="D78" s="301"/>
      <c r="E78" s="302"/>
      <c r="F78" s="303"/>
      <c r="G78" s="304"/>
      <c r="H78" s="305"/>
      <c r="I78" s="600"/>
      <c r="J78" s="306"/>
      <c r="K78" s="307"/>
    </row>
    <row r="79" spans="1:11" s="299" customFormat="1" x14ac:dyDescent="0.25">
      <c r="A79" s="300"/>
      <c r="B79" s="301"/>
      <c r="C79" s="301"/>
      <c r="D79" s="301"/>
      <c r="E79" s="302"/>
      <c r="F79" s="303"/>
      <c r="G79" s="304"/>
      <c r="H79" s="305"/>
      <c r="I79" s="600"/>
      <c r="J79" s="306"/>
      <c r="K79" s="307"/>
    </row>
    <row r="80" spans="1:11" s="299" customFormat="1" x14ac:dyDescent="0.25">
      <c r="A80" s="300"/>
      <c r="B80" s="301"/>
      <c r="C80" s="301"/>
      <c r="D80" s="301"/>
      <c r="E80" s="302"/>
      <c r="F80" s="303"/>
      <c r="G80" s="304"/>
      <c r="H80" s="305"/>
      <c r="I80" s="600"/>
      <c r="J80" s="306"/>
      <c r="K80" s="307"/>
    </row>
    <row r="81" spans="1:11" s="299" customFormat="1" x14ac:dyDescent="0.25">
      <c r="A81" s="308"/>
      <c r="B81" s="309"/>
      <c r="C81" s="309"/>
      <c r="D81" s="309"/>
      <c r="E81" s="310"/>
      <c r="F81" s="311"/>
      <c r="G81" s="312"/>
      <c r="H81" s="313"/>
      <c r="I81" s="611"/>
      <c r="J81" s="314"/>
      <c r="K81" s="315"/>
    </row>
    <row r="82" spans="1:11" x14ac:dyDescent="0.2">
      <c r="A82" s="861" t="s">
        <v>124</v>
      </c>
      <c r="B82" s="862"/>
      <c r="C82" s="862"/>
      <c r="D82" s="862"/>
      <c r="E82" s="862"/>
      <c r="F82" s="837"/>
      <c r="G82" s="837"/>
      <c r="H82" s="837"/>
      <c r="I82" s="837"/>
      <c r="J82" s="838"/>
      <c r="K82" s="316">
        <f>SUM(K74:K81)</f>
        <v>380.39440000000002</v>
      </c>
    </row>
    <row r="83" spans="1:11" ht="15.75" customHeight="1" x14ac:dyDescent="0.2">
      <c r="A83" s="822" t="s">
        <v>125</v>
      </c>
      <c r="B83" s="839"/>
      <c r="C83" s="839"/>
      <c r="D83" s="839"/>
      <c r="E83" s="839"/>
      <c r="F83" s="317"/>
      <c r="G83" s="317"/>
      <c r="H83" s="863" t="s">
        <v>54</v>
      </c>
      <c r="I83" s="865" t="s">
        <v>126</v>
      </c>
      <c r="J83" s="867" t="s">
        <v>127</v>
      </c>
      <c r="K83" s="867" t="s">
        <v>120</v>
      </c>
    </row>
    <row r="84" spans="1:11" ht="21.75" customHeight="1" x14ac:dyDescent="0.25">
      <c r="A84" s="824"/>
      <c r="B84" s="840"/>
      <c r="C84" s="840"/>
      <c r="D84" s="840"/>
      <c r="E84" s="840"/>
      <c r="F84" s="318"/>
      <c r="G84" s="269"/>
      <c r="H84" s="864"/>
      <c r="I84" s="866"/>
      <c r="J84" s="868"/>
      <c r="K84" s="868"/>
    </row>
    <row r="85" spans="1:11" x14ac:dyDescent="0.2">
      <c r="A85" s="319" t="s">
        <v>128</v>
      </c>
      <c r="B85" s="859" t="s">
        <v>129</v>
      </c>
      <c r="C85" s="859"/>
      <c r="D85" s="859"/>
      <c r="E85" s="859"/>
      <c r="F85" s="859"/>
      <c r="G85" s="860"/>
      <c r="H85" s="320">
        <v>2</v>
      </c>
      <c r="I85" s="609" t="s">
        <v>130</v>
      </c>
      <c r="J85" s="321">
        <v>18.5961</v>
      </c>
      <c r="K85" s="322">
        <f>ROUND((H85*J85),4)</f>
        <v>37.1922</v>
      </c>
    </row>
    <row r="86" spans="1:11" x14ac:dyDescent="0.2">
      <c r="A86" s="323"/>
      <c r="B86" s="849"/>
      <c r="C86" s="849"/>
      <c r="D86" s="849"/>
      <c r="E86" s="849"/>
      <c r="F86" s="849"/>
      <c r="G86" s="850"/>
      <c r="H86" s="320"/>
      <c r="I86" s="609"/>
      <c r="J86" s="306"/>
      <c r="K86" s="306"/>
    </row>
    <row r="87" spans="1:11" x14ac:dyDescent="0.2">
      <c r="A87" s="323"/>
      <c r="B87" s="849"/>
      <c r="C87" s="849"/>
      <c r="D87" s="849"/>
      <c r="E87" s="849"/>
      <c r="F87" s="849"/>
      <c r="G87" s="850"/>
      <c r="H87" s="320"/>
      <c r="I87" s="609"/>
      <c r="J87" s="306"/>
      <c r="K87" s="306"/>
    </row>
    <row r="88" spans="1:11" x14ac:dyDescent="0.2">
      <c r="A88" s="323"/>
      <c r="B88" s="849"/>
      <c r="C88" s="849"/>
      <c r="D88" s="849"/>
      <c r="E88" s="849"/>
      <c r="F88" s="849"/>
      <c r="G88" s="850"/>
      <c r="H88" s="320"/>
      <c r="I88" s="609"/>
      <c r="J88" s="306"/>
      <c r="K88" s="306"/>
    </row>
    <row r="89" spans="1:11" x14ac:dyDescent="0.2">
      <c r="A89" s="323"/>
      <c r="B89" s="849"/>
      <c r="C89" s="849"/>
      <c r="D89" s="849"/>
      <c r="E89" s="849"/>
      <c r="F89" s="849"/>
      <c r="G89" s="850"/>
      <c r="H89" s="320"/>
      <c r="I89" s="609"/>
      <c r="J89" s="306"/>
      <c r="K89" s="306"/>
    </row>
    <row r="90" spans="1:11" x14ac:dyDescent="0.2">
      <c r="A90" s="323"/>
      <c r="B90" s="849"/>
      <c r="C90" s="849"/>
      <c r="D90" s="849"/>
      <c r="E90" s="849"/>
      <c r="F90" s="849"/>
      <c r="G90" s="850"/>
      <c r="H90" s="320"/>
      <c r="I90" s="609"/>
      <c r="J90" s="306"/>
      <c r="K90" s="306"/>
    </row>
    <row r="91" spans="1:11" x14ac:dyDescent="0.2">
      <c r="A91" s="323"/>
      <c r="B91" s="849"/>
      <c r="C91" s="849"/>
      <c r="D91" s="849"/>
      <c r="E91" s="849"/>
      <c r="F91" s="849"/>
      <c r="G91" s="850"/>
      <c r="H91" s="320"/>
      <c r="I91" s="609"/>
      <c r="J91" s="306"/>
      <c r="K91" s="306"/>
    </row>
    <row r="92" spans="1:11" x14ac:dyDescent="0.2">
      <c r="A92" s="324"/>
      <c r="B92" s="851"/>
      <c r="C92" s="851"/>
      <c r="D92" s="851"/>
      <c r="E92" s="851"/>
      <c r="F92" s="851"/>
      <c r="G92" s="852"/>
      <c r="H92" s="325"/>
      <c r="I92" s="608"/>
      <c r="J92" s="314"/>
      <c r="K92" s="314"/>
    </row>
    <row r="93" spans="1:11" ht="15" x14ac:dyDescent="0.25">
      <c r="A93" s="326"/>
      <c r="C93" s="270"/>
      <c r="D93" s="836" t="s">
        <v>131</v>
      </c>
      <c r="E93" s="837"/>
      <c r="F93" s="837"/>
      <c r="G93" s="837"/>
      <c r="H93" s="837"/>
      <c r="I93" s="837"/>
      <c r="J93" s="838"/>
      <c r="K93" s="328">
        <f>SUM(K85:K92)</f>
        <v>37.1922</v>
      </c>
    </row>
    <row r="94" spans="1:11" x14ac:dyDescent="0.2">
      <c r="A94" s="326" t="s">
        <v>132</v>
      </c>
      <c r="B94" s="329"/>
      <c r="C94" s="330">
        <v>1500</v>
      </c>
      <c r="D94" s="853" t="s">
        <v>133</v>
      </c>
      <c r="E94" s="854"/>
      <c r="F94" s="854"/>
      <c r="G94" s="854"/>
      <c r="H94" s="854"/>
      <c r="I94" s="854"/>
      <c r="J94" s="855"/>
      <c r="K94" s="328">
        <f>K82+K93</f>
        <v>417.58660000000003</v>
      </c>
    </row>
    <row r="95" spans="1:11" x14ac:dyDescent="0.2">
      <c r="A95" s="331"/>
      <c r="B95" s="329"/>
      <c r="C95" s="332"/>
      <c r="D95" s="856" t="s">
        <v>134</v>
      </c>
      <c r="E95" s="856"/>
      <c r="F95" s="857"/>
      <c r="G95" s="857"/>
      <c r="H95" s="857"/>
      <c r="I95" s="857"/>
      <c r="J95" s="858"/>
      <c r="K95" s="328">
        <f>ROUND((K94/C94),4)</f>
        <v>0.27839999999999998</v>
      </c>
    </row>
    <row r="96" spans="1:11" x14ac:dyDescent="0.2">
      <c r="A96" s="326"/>
      <c r="B96" s="329"/>
      <c r="C96" s="333"/>
      <c r="D96" s="380"/>
      <c r="E96" s="380"/>
      <c r="F96" s="380"/>
      <c r="G96" s="380"/>
      <c r="H96" s="380"/>
      <c r="I96" s="610" t="s">
        <v>135</v>
      </c>
      <c r="J96" s="334">
        <v>0.58399999999999996</v>
      </c>
      <c r="K96" s="328">
        <v>1.6000000000000001E-3</v>
      </c>
    </row>
    <row r="97" spans="1:11" x14ac:dyDescent="0.2">
      <c r="A97" s="326"/>
      <c r="B97" s="329"/>
      <c r="C97" s="333"/>
      <c r="D97" s="380"/>
      <c r="E97" s="380"/>
      <c r="F97" s="380"/>
      <c r="G97" s="380"/>
      <c r="H97" s="380"/>
      <c r="I97" s="610" t="s">
        <v>136</v>
      </c>
      <c r="J97" s="334">
        <v>14.23</v>
      </c>
      <c r="K97" s="328">
        <v>3.9600000000000003E-2</v>
      </c>
    </row>
    <row r="98" spans="1:11" x14ac:dyDescent="0.2">
      <c r="A98" s="822" t="s">
        <v>137</v>
      </c>
      <c r="B98" s="839"/>
      <c r="C98" s="839"/>
      <c r="D98" s="839"/>
      <c r="E98" s="839"/>
      <c r="F98" s="841"/>
      <c r="G98" s="843" t="s">
        <v>42</v>
      </c>
      <c r="H98" s="844"/>
      <c r="I98" s="831" t="s">
        <v>126</v>
      </c>
      <c r="J98" s="830" t="s">
        <v>138</v>
      </c>
      <c r="K98" s="830" t="s">
        <v>139</v>
      </c>
    </row>
    <row r="99" spans="1:11" x14ac:dyDescent="0.2">
      <c r="A99" s="824"/>
      <c r="B99" s="840"/>
      <c r="C99" s="840"/>
      <c r="D99" s="840"/>
      <c r="E99" s="840"/>
      <c r="F99" s="842"/>
      <c r="G99" s="845"/>
      <c r="H99" s="846"/>
      <c r="I99" s="831"/>
      <c r="J99" s="830"/>
      <c r="K99" s="831"/>
    </row>
    <row r="100" spans="1:11" x14ac:dyDescent="0.2">
      <c r="A100" s="323" t="s">
        <v>342</v>
      </c>
      <c r="B100" s="301" t="s">
        <v>343</v>
      </c>
      <c r="C100" s="301"/>
      <c r="D100" s="301"/>
      <c r="E100" s="301"/>
      <c r="F100" s="293"/>
      <c r="G100" s="847">
        <v>4.4999999999999999E-4</v>
      </c>
      <c r="H100" s="848"/>
      <c r="I100" s="599" t="s">
        <v>344</v>
      </c>
      <c r="J100" s="360">
        <v>0</v>
      </c>
      <c r="K100" s="361">
        <f>ROUND((G100*J100),4)</f>
        <v>0</v>
      </c>
    </row>
    <row r="101" spans="1:11" x14ac:dyDescent="0.2">
      <c r="A101" s="323"/>
      <c r="B101" s="301"/>
      <c r="C101" s="301"/>
      <c r="D101" s="301"/>
      <c r="E101" s="301"/>
      <c r="F101" s="302"/>
      <c r="G101" s="832"/>
      <c r="H101" s="833"/>
      <c r="I101" s="606"/>
      <c r="J101" s="337"/>
      <c r="K101" s="306"/>
    </row>
    <row r="102" spans="1:11" x14ac:dyDescent="0.2">
      <c r="A102" s="323"/>
      <c r="B102" s="301"/>
      <c r="C102" s="301"/>
      <c r="D102" s="301"/>
      <c r="E102" s="301"/>
      <c r="F102" s="302"/>
      <c r="G102" s="832"/>
      <c r="H102" s="833"/>
      <c r="I102" s="606"/>
      <c r="J102" s="337"/>
      <c r="K102" s="306"/>
    </row>
    <row r="103" spans="1:11" x14ac:dyDescent="0.2">
      <c r="A103" s="323"/>
      <c r="B103" s="301"/>
      <c r="C103" s="301"/>
      <c r="D103" s="301"/>
      <c r="E103" s="301"/>
      <c r="F103" s="302"/>
      <c r="G103" s="832"/>
      <c r="H103" s="833"/>
      <c r="I103" s="606"/>
      <c r="J103" s="337"/>
      <c r="K103" s="306"/>
    </row>
    <row r="104" spans="1:11" x14ac:dyDescent="0.2">
      <c r="A104" s="836" t="s">
        <v>140</v>
      </c>
      <c r="B104" s="837"/>
      <c r="C104" s="837"/>
      <c r="D104" s="837"/>
      <c r="E104" s="837"/>
      <c r="F104" s="837"/>
      <c r="G104" s="837"/>
      <c r="H104" s="837"/>
      <c r="I104" s="837"/>
      <c r="J104" s="838"/>
      <c r="K104" s="328">
        <f>SUM(K100:K103)</f>
        <v>0</v>
      </c>
    </row>
    <row r="105" spans="1:11" x14ac:dyDescent="0.2">
      <c r="A105" s="822" t="s">
        <v>141</v>
      </c>
      <c r="B105" s="839"/>
      <c r="C105" s="839"/>
      <c r="D105" s="839"/>
      <c r="E105" s="839"/>
      <c r="F105" s="841"/>
      <c r="G105" s="843" t="s">
        <v>42</v>
      </c>
      <c r="H105" s="844"/>
      <c r="I105" s="831" t="s">
        <v>126</v>
      </c>
      <c r="J105" s="830" t="s">
        <v>138</v>
      </c>
      <c r="K105" s="830" t="s">
        <v>139</v>
      </c>
    </row>
    <row r="106" spans="1:11" x14ac:dyDescent="0.2">
      <c r="A106" s="824"/>
      <c r="B106" s="840"/>
      <c r="C106" s="840"/>
      <c r="D106" s="840"/>
      <c r="E106" s="840"/>
      <c r="F106" s="842"/>
      <c r="G106" s="845"/>
      <c r="H106" s="846"/>
      <c r="I106" s="831"/>
      <c r="J106" s="830"/>
      <c r="K106" s="831"/>
    </row>
    <row r="107" spans="1:11" x14ac:dyDescent="0.2">
      <c r="A107" s="323"/>
      <c r="B107" s="301"/>
      <c r="C107" s="301"/>
      <c r="D107" s="301"/>
      <c r="E107" s="301"/>
      <c r="F107" s="302"/>
      <c r="G107" s="832"/>
      <c r="H107" s="833"/>
      <c r="I107" s="606"/>
      <c r="J107" s="337"/>
      <c r="K107" s="306"/>
    </row>
    <row r="108" spans="1:11" x14ac:dyDescent="0.2">
      <c r="A108" s="323"/>
      <c r="B108" s="301"/>
      <c r="C108" s="301"/>
      <c r="D108" s="301"/>
      <c r="E108" s="301"/>
      <c r="F108" s="302"/>
      <c r="G108" s="832"/>
      <c r="H108" s="833"/>
      <c r="I108" s="606"/>
      <c r="J108" s="337"/>
      <c r="K108" s="306"/>
    </row>
    <row r="109" spans="1:11" x14ac:dyDescent="0.2">
      <c r="A109" s="323"/>
      <c r="B109" s="301"/>
      <c r="C109" s="301"/>
      <c r="D109" s="301"/>
      <c r="E109" s="301"/>
      <c r="F109" s="302"/>
      <c r="G109" s="832"/>
      <c r="H109" s="833"/>
      <c r="I109" s="606"/>
      <c r="J109" s="337"/>
      <c r="K109" s="306"/>
    </row>
    <row r="110" spans="1:11" x14ac:dyDescent="0.2">
      <c r="A110" s="324"/>
      <c r="B110" s="309"/>
      <c r="C110" s="309"/>
      <c r="D110" s="309"/>
      <c r="E110" s="309"/>
      <c r="F110" s="310"/>
      <c r="G110" s="834"/>
      <c r="H110" s="835"/>
      <c r="I110" s="605"/>
      <c r="J110" s="339"/>
      <c r="K110" s="314"/>
    </row>
    <row r="111" spans="1:11" x14ac:dyDescent="0.2">
      <c r="A111" s="836" t="s">
        <v>142</v>
      </c>
      <c r="B111" s="837"/>
      <c r="C111" s="837"/>
      <c r="D111" s="837"/>
      <c r="E111" s="837"/>
      <c r="F111" s="837"/>
      <c r="G111" s="837"/>
      <c r="H111" s="837"/>
      <c r="I111" s="837"/>
      <c r="J111" s="838"/>
      <c r="K111" s="338"/>
    </row>
    <row r="112" spans="1:11" x14ac:dyDescent="0.2">
      <c r="A112" s="822" t="s">
        <v>143</v>
      </c>
      <c r="B112" s="839"/>
      <c r="C112" s="839"/>
      <c r="D112" s="839"/>
      <c r="E112" s="839"/>
      <c r="F112" s="841"/>
      <c r="G112" s="843" t="s">
        <v>42</v>
      </c>
      <c r="H112" s="844"/>
      <c r="I112" s="831" t="s">
        <v>126</v>
      </c>
      <c r="J112" s="830" t="s">
        <v>138</v>
      </c>
      <c r="K112" s="830" t="s">
        <v>139</v>
      </c>
    </row>
    <row r="113" spans="1:11" x14ac:dyDescent="0.2">
      <c r="A113" s="824"/>
      <c r="B113" s="840"/>
      <c r="C113" s="840"/>
      <c r="D113" s="840"/>
      <c r="E113" s="840"/>
      <c r="F113" s="842"/>
      <c r="G113" s="845"/>
      <c r="H113" s="846"/>
      <c r="I113" s="831"/>
      <c r="J113" s="830"/>
      <c r="K113" s="831"/>
    </row>
    <row r="114" spans="1:11" x14ac:dyDescent="0.2">
      <c r="A114" s="323"/>
      <c r="B114" s="301"/>
      <c r="C114" s="301"/>
      <c r="D114" s="301"/>
      <c r="E114" s="301"/>
      <c r="F114" s="302"/>
      <c r="G114" s="832"/>
      <c r="H114" s="833"/>
      <c r="I114" s="606"/>
      <c r="J114" s="337"/>
      <c r="K114" s="306"/>
    </row>
    <row r="115" spans="1:11" x14ac:dyDescent="0.2">
      <c r="A115" s="323"/>
      <c r="B115" s="301"/>
      <c r="C115" s="301"/>
      <c r="D115" s="301"/>
      <c r="E115" s="301"/>
      <c r="F115" s="302"/>
      <c r="G115" s="832"/>
      <c r="H115" s="833"/>
      <c r="I115" s="606"/>
      <c r="J115" s="337"/>
      <c r="K115" s="306"/>
    </row>
    <row r="116" spans="1:11" x14ac:dyDescent="0.2">
      <c r="A116" s="323"/>
      <c r="B116" s="301"/>
      <c r="C116" s="301"/>
      <c r="D116" s="301"/>
      <c r="E116" s="301"/>
      <c r="F116" s="302"/>
      <c r="G116" s="832"/>
      <c r="H116" s="833"/>
      <c r="I116" s="606"/>
      <c r="J116" s="337"/>
      <c r="K116" s="306"/>
    </row>
    <row r="117" spans="1:11" x14ac:dyDescent="0.2">
      <c r="A117" s="324"/>
      <c r="B117" s="309"/>
      <c r="C117" s="309"/>
      <c r="D117" s="309"/>
      <c r="E117" s="309"/>
      <c r="F117" s="310"/>
      <c r="G117" s="834"/>
      <c r="H117" s="835"/>
      <c r="I117" s="605"/>
      <c r="J117" s="339"/>
      <c r="K117" s="314"/>
    </row>
    <row r="118" spans="1:11" x14ac:dyDescent="0.2">
      <c r="A118" s="836" t="s">
        <v>144</v>
      </c>
      <c r="B118" s="837"/>
      <c r="C118" s="837"/>
      <c r="D118" s="837"/>
      <c r="E118" s="837"/>
      <c r="F118" s="837"/>
      <c r="G118" s="837"/>
      <c r="H118" s="837"/>
      <c r="I118" s="837"/>
      <c r="J118" s="838"/>
      <c r="K118" s="338"/>
    </row>
    <row r="119" spans="1:11" x14ac:dyDescent="0.2">
      <c r="A119" s="822" t="s">
        <v>145</v>
      </c>
      <c r="B119" s="823"/>
      <c r="C119" s="820" t="s">
        <v>146</v>
      </c>
      <c r="D119" s="340" t="s">
        <v>147</v>
      </c>
      <c r="E119" s="818" t="s">
        <v>148</v>
      </c>
      <c r="F119" s="818"/>
      <c r="G119" s="819"/>
      <c r="H119" s="814" t="s">
        <v>149</v>
      </c>
      <c r="I119" s="815"/>
      <c r="J119" s="816"/>
      <c r="K119" s="812" t="s">
        <v>150</v>
      </c>
    </row>
    <row r="120" spans="1:11" x14ac:dyDescent="0.2">
      <c r="A120" s="826"/>
      <c r="B120" s="827"/>
      <c r="C120" s="821"/>
      <c r="D120" s="341"/>
      <c r="E120" s="378" t="s">
        <v>151</v>
      </c>
      <c r="F120" s="342" t="s">
        <v>152</v>
      </c>
      <c r="G120" s="343" t="s">
        <v>153</v>
      </c>
      <c r="H120" s="378" t="s">
        <v>151</v>
      </c>
      <c r="I120" s="342" t="s">
        <v>152</v>
      </c>
      <c r="J120" s="342" t="s">
        <v>153</v>
      </c>
      <c r="K120" s="813"/>
    </row>
    <row r="121" spans="1:11" x14ac:dyDescent="0.2">
      <c r="A121" s="319"/>
      <c r="B121" s="293"/>
      <c r="C121" s="344"/>
      <c r="D121" s="345"/>
      <c r="E121" s="346"/>
      <c r="F121" s="347"/>
      <c r="G121" s="348"/>
      <c r="H121" s="379"/>
      <c r="I121" s="613"/>
      <c r="J121" s="349"/>
      <c r="K121" s="336"/>
    </row>
    <row r="122" spans="1:11" x14ac:dyDescent="0.2">
      <c r="A122" s="323"/>
      <c r="B122" s="301"/>
      <c r="C122" s="344"/>
      <c r="D122" s="350"/>
      <c r="E122" s="351"/>
      <c r="F122" s="352"/>
      <c r="G122" s="353"/>
      <c r="H122" s="379"/>
      <c r="I122" s="613"/>
      <c r="J122" s="349"/>
      <c r="K122" s="306"/>
    </row>
    <row r="123" spans="1:11" x14ac:dyDescent="0.2">
      <c r="A123" s="323"/>
      <c r="B123" s="301"/>
      <c r="C123" s="344"/>
      <c r="D123" s="350"/>
      <c r="E123" s="351"/>
      <c r="F123" s="352"/>
      <c r="G123" s="353"/>
      <c r="H123" s="379"/>
      <c r="I123" s="613"/>
      <c r="J123" s="349"/>
      <c r="K123" s="306"/>
    </row>
    <row r="124" spans="1:11" x14ac:dyDescent="0.2">
      <c r="A124" s="324"/>
      <c r="B124" s="309"/>
      <c r="C124" s="354"/>
      <c r="D124" s="355"/>
      <c r="E124" s="356"/>
      <c r="F124" s="357"/>
      <c r="G124" s="358"/>
      <c r="H124" s="379"/>
      <c r="I124" s="613"/>
      <c r="J124" s="349"/>
      <c r="K124" s="314"/>
    </row>
    <row r="125" spans="1:11" x14ac:dyDescent="0.2">
      <c r="A125" s="828" t="s">
        <v>154</v>
      </c>
      <c r="B125" s="808"/>
      <c r="C125" s="808"/>
      <c r="D125" s="829"/>
      <c r="E125" s="808"/>
      <c r="F125" s="808"/>
      <c r="G125" s="808"/>
      <c r="H125" s="808"/>
      <c r="I125" s="808"/>
      <c r="J125" s="809"/>
      <c r="K125" s="338"/>
    </row>
    <row r="126" spans="1:11" x14ac:dyDescent="0.2">
      <c r="A126" s="807" t="s">
        <v>155</v>
      </c>
      <c r="B126" s="808"/>
      <c r="C126" s="808"/>
      <c r="D126" s="808"/>
      <c r="E126" s="808"/>
      <c r="F126" s="808"/>
      <c r="G126" s="808"/>
      <c r="H126" s="808"/>
      <c r="I126" s="808"/>
      <c r="J126" s="809"/>
      <c r="K126" s="359">
        <f>ROUND((K95+K96+K97+K104),2)</f>
        <v>0.32</v>
      </c>
    </row>
    <row r="127" spans="1:11" x14ac:dyDescent="0.2">
      <c r="A127" s="807" t="s">
        <v>23</v>
      </c>
      <c r="B127" s="808"/>
      <c r="C127" s="808"/>
      <c r="D127" s="808"/>
      <c r="E127" s="808"/>
      <c r="F127" s="808"/>
      <c r="G127" s="808"/>
      <c r="H127" s="808"/>
      <c r="I127" s="808"/>
      <c r="J127" s="809"/>
      <c r="K127" s="359">
        <f>ROUND((K126*  26.76/100),4)</f>
        <v>8.5599999999999996E-2</v>
      </c>
    </row>
    <row r="128" spans="1:11" x14ac:dyDescent="0.2">
      <c r="A128" s="807" t="s">
        <v>156</v>
      </c>
      <c r="B128" s="808"/>
      <c r="C128" s="808"/>
      <c r="D128" s="808"/>
      <c r="E128" s="808"/>
      <c r="F128" s="808"/>
      <c r="G128" s="808"/>
      <c r="H128" s="808"/>
      <c r="I128" s="808"/>
      <c r="J128" s="809"/>
      <c r="K128" s="359">
        <f>K126+K127</f>
        <v>0.40560000000000002</v>
      </c>
    </row>
    <row r="131" spans="1:11" ht="56.25" customHeight="1" x14ac:dyDescent="0.2">
      <c r="A131" s="804" t="s">
        <v>110</v>
      </c>
      <c r="B131" s="805"/>
      <c r="C131" s="805"/>
      <c r="D131" s="805"/>
      <c r="E131" s="805"/>
      <c r="F131" s="805"/>
      <c r="G131" s="805"/>
      <c r="H131" s="805"/>
      <c r="I131" s="805"/>
      <c r="J131" s="805"/>
      <c r="K131" s="806"/>
    </row>
    <row r="132" spans="1:11" ht="18" customHeight="1" x14ac:dyDescent="0.2">
      <c r="A132" s="275" t="s">
        <v>111</v>
      </c>
      <c r="B132" s="276"/>
      <c r="C132" s="802"/>
      <c r="D132" s="802"/>
      <c r="E132" s="802"/>
      <c r="F132" s="802"/>
      <c r="G132" s="802"/>
      <c r="H132" s="802"/>
      <c r="I132" s="802"/>
      <c r="J132" s="802"/>
      <c r="K132" s="803"/>
    </row>
    <row r="133" spans="1:11" ht="18" customHeight="1" x14ac:dyDescent="0.2">
      <c r="A133" s="275" t="s">
        <v>315</v>
      </c>
      <c r="B133" s="276"/>
      <c r="C133" s="277" t="s">
        <v>66</v>
      </c>
      <c r="E133" s="810" t="s">
        <v>316</v>
      </c>
      <c r="F133" s="810"/>
      <c r="G133" s="810"/>
      <c r="H133" s="279"/>
      <c r="I133" s="604" t="s">
        <v>112</v>
      </c>
      <c r="J133" s="810" t="s">
        <v>113</v>
      </c>
      <c r="K133" s="811"/>
    </row>
    <row r="134" spans="1:11" x14ac:dyDescent="0.2">
      <c r="A134" s="280" t="s">
        <v>114</v>
      </c>
      <c r="B134" s="281" t="s">
        <v>1649</v>
      </c>
      <c r="C134" s="282"/>
      <c r="D134" s="282"/>
      <c r="E134" s="282"/>
      <c r="F134" s="282"/>
      <c r="G134" s="282"/>
      <c r="H134" s="282"/>
      <c r="I134" s="282"/>
      <c r="J134" s="282"/>
      <c r="K134" s="283"/>
    </row>
    <row r="135" spans="1:11" x14ac:dyDescent="0.2">
      <c r="A135" s="284" t="s">
        <v>115</v>
      </c>
      <c r="B135" s="285"/>
      <c r="D135" s="286"/>
      <c r="E135" s="286"/>
      <c r="F135" s="286"/>
      <c r="G135" s="286"/>
      <c r="H135" s="286"/>
      <c r="I135" s="603"/>
      <c r="J135" s="287" t="s">
        <v>52</v>
      </c>
      <c r="K135" s="288" t="s">
        <v>318</v>
      </c>
    </row>
    <row r="136" spans="1:11" ht="23.25" customHeight="1" x14ac:dyDescent="0.2">
      <c r="A136" s="869" t="str">
        <f>UPPER(("Concreto asfáltico - faixa C - massa comercial"))</f>
        <v>CONCRETO ASFÁLTICO - FAIXA C - MASSA COMERCIAL</v>
      </c>
      <c r="B136" s="870"/>
      <c r="C136" s="870"/>
      <c r="D136" s="870"/>
      <c r="E136" s="870"/>
      <c r="F136" s="870"/>
      <c r="G136" s="870"/>
      <c r="H136" s="870"/>
      <c r="I136" s="871"/>
      <c r="J136" s="289" t="s">
        <v>116</v>
      </c>
      <c r="K136" s="288" t="s">
        <v>345</v>
      </c>
    </row>
    <row r="137" spans="1:11" x14ac:dyDescent="0.2">
      <c r="A137" s="826" t="s">
        <v>117</v>
      </c>
      <c r="B137" s="872"/>
      <c r="C137" s="839"/>
      <c r="D137" s="839"/>
      <c r="E137" s="823"/>
      <c r="F137" s="290" t="s">
        <v>54</v>
      </c>
      <c r="G137" s="873" t="s">
        <v>118</v>
      </c>
      <c r="H137" s="874"/>
      <c r="I137" s="813" t="s">
        <v>119</v>
      </c>
      <c r="J137" s="813"/>
      <c r="K137" s="867" t="s">
        <v>120</v>
      </c>
    </row>
    <row r="138" spans="1:11" ht="25.5" x14ac:dyDescent="0.2">
      <c r="A138" s="826"/>
      <c r="B138" s="872"/>
      <c r="C138" s="872"/>
      <c r="D138" s="872"/>
      <c r="E138" s="827"/>
      <c r="F138" s="290"/>
      <c r="G138" s="290" t="s">
        <v>121</v>
      </c>
      <c r="H138" s="381" t="s">
        <v>122</v>
      </c>
      <c r="I138" s="290" t="s">
        <v>123</v>
      </c>
      <c r="J138" s="290" t="s">
        <v>122</v>
      </c>
      <c r="K138" s="868"/>
    </row>
    <row r="139" spans="1:11" s="299" customFormat="1" x14ac:dyDescent="0.25">
      <c r="A139" s="291" t="s">
        <v>346</v>
      </c>
      <c r="B139" s="292" t="s">
        <v>347</v>
      </c>
      <c r="C139" s="292"/>
      <c r="D139" s="292"/>
      <c r="E139" s="293"/>
      <c r="F139" s="294">
        <v>1</v>
      </c>
      <c r="G139" s="295">
        <v>1</v>
      </c>
      <c r="H139" s="296">
        <v>0</v>
      </c>
      <c r="I139" s="602">
        <v>306.64299999999997</v>
      </c>
      <c r="J139" s="297">
        <v>126.253</v>
      </c>
      <c r="K139" s="298">
        <f>ROUND((ROUND((G139*I139+H139*J139),4)*F139),4)</f>
        <v>306.64299999999997</v>
      </c>
    </row>
    <row r="140" spans="1:11" s="299" customFormat="1" ht="22.5" x14ac:dyDescent="0.25">
      <c r="A140" s="300" t="s">
        <v>348</v>
      </c>
      <c r="B140" s="301" t="s">
        <v>349</v>
      </c>
      <c r="C140" s="301"/>
      <c r="D140" s="301"/>
      <c r="E140" s="302"/>
      <c r="F140" s="303">
        <v>1</v>
      </c>
      <c r="G140" s="372">
        <v>0.82</v>
      </c>
      <c r="H140" s="373">
        <v>0.18</v>
      </c>
      <c r="I140" s="601">
        <v>263.55840000000001</v>
      </c>
      <c r="J140" s="321">
        <v>83.914699999999996</v>
      </c>
      <c r="K140" s="374">
        <f>ROUND((ROUND((G140*I140+H140*J140),4)*F140),4)</f>
        <v>231.2225</v>
      </c>
    </row>
    <row r="141" spans="1:11" s="299" customFormat="1" ht="22.5" x14ac:dyDescent="0.25">
      <c r="A141" s="300" t="s">
        <v>350</v>
      </c>
      <c r="B141" s="301" t="s">
        <v>351</v>
      </c>
      <c r="C141" s="301"/>
      <c r="D141" s="301"/>
      <c r="E141" s="302"/>
      <c r="F141" s="303">
        <v>1</v>
      </c>
      <c r="G141" s="372">
        <v>0.71</v>
      </c>
      <c r="H141" s="373">
        <v>0.28999999999999998</v>
      </c>
      <c r="I141" s="601">
        <v>225.69579999999999</v>
      </c>
      <c r="J141" s="321">
        <v>100.4884</v>
      </c>
      <c r="K141" s="374">
        <f>ROUND((ROUND((G141*I141+H141*J141),4)*F141),4)</f>
        <v>189.38570000000001</v>
      </c>
    </row>
    <row r="142" spans="1:11" s="299" customFormat="1" x14ac:dyDescent="0.25">
      <c r="A142" s="300"/>
      <c r="B142" s="301"/>
      <c r="C142" s="301"/>
      <c r="D142" s="301"/>
      <c r="E142" s="302"/>
      <c r="F142" s="303"/>
      <c r="G142" s="304"/>
      <c r="H142" s="305"/>
      <c r="I142" s="600"/>
      <c r="J142" s="306"/>
      <c r="K142" s="307"/>
    </row>
    <row r="143" spans="1:11" s="299" customFormat="1" x14ac:dyDescent="0.25">
      <c r="A143" s="300"/>
      <c r="B143" s="301"/>
      <c r="C143" s="301"/>
      <c r="D143" s="301"/>
      <c r="E143" s="302"/>
      <c r="F143" s="303"/>
      <c r="G143" s="304"/>
      <c r="H143" s="305"/>
      <c r="I143" s="600"/>
      <c r="J143" s="306"/>
      <c r="K143" s="307"/>
    </row>
    <row r="144" spans="1:11" s="299" customFormat="1" x14ac:dyDescent="0.25">
      <c r="A144" s="300"/>
      <c r="B144" s="301"/>
      <c r="C144" s="301"/>
      <c r="D144" s="301"/>
      <c r="E144" s="302"/>
      <c r="F144" s="303"/>
      <c r="G144" s="304"/>
      <c r="H144" s="305"/>
      <c r="I144" s="600"/>
      <c r="J144" s="306"/>
      <c r="K144" s="307"/>
    </row>
    <row r="145" spans="1:11" s="299" customFormat="1" x14ac:dyDescent="0.25">
      <c r="A145" s="300"/>
      <c r="B145" s="301"/>
      <c r="C145" s="301"/>
      <c r="D145" s="301"/>
      <c r="E145" s="302"/>
      <c r="F145" s="303"/>
      <c r="G145" s="304"/>
      <c r="H145" s="305"/>
      <c r="I145" s="600"/>
      <c r="J145" s="306"/>
      <c r="K145" s="307"/>
    </row>
    <row r="146" spans="1:11" s="299" customFormat="1" x14ac:dyDescent="0.25">
      <c r="A146" s="308"/>
      <c r="B146" s="309"/>
      <c r="C146" s="309"/>
      <c r="D146" s="309"/>
      <c r="E146" s="310"/>
      <c r="F146" s="311"/>
      <c r="G146" s="312"/>
      <c r="H146" s="313"/>
      <c r="I146" s="611"/>
      <c r="J146" s="314"/>
      <c r="K146" s="315"/>
    </row>
    <row r="147" spans="1:11" x14ac:dyDescent="0.2">
      <c r="A147" s="861" t="s">
        <v>124</v>
      </c>
      <c r="B147" s="862"/>
      <c r="C147" s="862"/>
      <c r="D147" s="862"/>
      <c r="E147" s="862"/>
      <c r="F147" s="837"/>
      <c r="G147" s="837"/>
      <c r="H147" s="837"/>
      <c r="I147" s="837"/>
      <c r="J147" s="838"/>
      <c r="K147" s="316">
        <f>SUM(K139:K146)</f>
        <v>727.25120000000004</v>
      </c>
    </row>
    <row r="148" spans="1:11" ht="15.75" customHeight="1" x14ac:dyDescent="0.2">
      <c r="A148" s="822" t="s">
        <v>125</v>
      </c>
      <c r="B148" s="839"/>
      <c r="C148" s="839"/>
      <c r="D148" s="839"/>
      <c r="E148" s="839"/>
      <c r="F148" s="317"/>
      <c r="G148" s="317"/>
      <c r="H148" s="863" t="s">
        <v>54</v>
      </c>
      <c r="I148" s="865" t="s">
        <v>126</v>
      </c>
      <c r="J148" s="867" t="s">
        <v>127</v>
      </c>
      <c r="K148" s="867" t="s">
        <v>120</v>
      </c>
    </row>
    <row r="149" spans="1:11" ht="21.75" customHeight="1" x14ac:dyDescent="0.25">
      <c r="A149" s="824"/>
      <c r="B149" s="840"/>
      <c r="C149" s="840"/>
      <c r="D149" s="840"/>
      <c r="E149" s="840"/>
      <c r="F149" s="318"/>
      <c r="G149" s="269"/>
      <c r="H149" s="864"/>
      <c r="I149" s="866"/>
      <c r="J149" s="868"/>
      <c r="K149" s="868"/>
    </row>
    <row r="150" spans="1:11" x14ac:dyDescent="0.2">
      <c r="A150" s="319" t="s">
        <v>128</v>
      </c>
      <c r="B150" s="859" t="s">
        <v>129</v>
      </c>
      <c r="C150" s="859"/>
      <c r="D150" s="859"/>
      <c r="E150" s="859"/>
      <c r="F150" s="859"/>
      <c r="G150" s="860"/>
      <c r="H150" s="320">
        <v>8</v>
      </c>
      <c r="I150" s="609" t="s">
        <v>130</v>
      </c>
      <c r="J150" s="321">
        <v>18.5961</v>
      </c>
      <c r="K150" s="322">
        <f>ROUND((H150*J150),4)</f>
        <v>148.7688</v>
      </c>
    </row>
    <row r="151" spans="1:11" x14ac:dyDescent="0.2">
      <c r="A151" s="323"/>
      <c r="B151" s="849"/>
      <c r="C151" s="849"/>
      <c r="D151" s="849"/>
      <c r="E151" s="849"/>
      <c r="F151" s="849"/>
      <c r="G151" s="850"/>
      <c r="H151" s="320"/>
      <c r="I151" s="609"/>
      <c r="J151" s="306"/>
      <c r="K151" s="306"/>
    </row>
    <row r="152" spans="1:11" x14ac:dyDescent="0.2">
      <c r="A152" s="323"/>
      <c r="B152" s="849"/>
      <c r="C152" s="849"/>
      <c r="D152" s="849"/>
      <c r="E152" s="849"/>
      <c r="F152" s="849"/>
      <c r="G152" s="850"/>
      <c r="H152" s="320"/>
      <c r="I152" s="609"/>
      <c r="J152" s="306"/>
      <c r="K152" s="306"/>
    </row>
    <row r="153" spans="1:11" x14ac:dyDescent="0.2">
      <c r="A153" s="323"/>
      <c r="B153" s="849"/>
      <c r="C153" s="849"/>
      <c r="D153" s="849"/>
      <c r="E153" s="849"/>
      <c r="F153" s="849"/>
      <c r="G153" s="850"/>
      <c r="H153" s="320"/>
      <c r="I153" s="609"/>
      <c r="J153" s="306"/>
      <c r="K153" s="306"/>
    </row>
    <row r="154" spans="1:11" x14ac:dyDescent="0.2">
      <c r="A154" s="323"/>
      <c r="B154" s="849"/>
      <c r="C154" s="849"/>
      <c r="D154" s="849"/>
      <c r="E154" s="849"/>
      <c r="F154" s="849"/>
      <c r="G154" s="850"/>
      <c r="H154" s="320"/>
      <c r="I154" s="609"/>
      <c r="J154" s="306"/>
      <c r="K154" s="306"/>
    </row>
    <row r="155" spans="1:11" x14ac:dyDescent="0.2">
      <c r="A155" s="323"/>
      <c r="B155" s="849"/>
      <c r="C155" s="849"/>
      <c r="D155" s="849"/>
      <c r="E155" s="849"/>
      <c r="F155" s="849"/>
      <c r="G155" s="850"/>
      <c r="H155" s="320"/>
      <c r="I155" s="609"/>
      <c r="J155" s="306"/>
      <c r="K155" s="306"/>
    </row>
    <row r="156" spans="1:11" x14ac:dyDescent="0.2">
      <c r="A156" s="323"/>
      <c r="B156" s="849"/>
      <c r="C156" s="849"/>
      <c r="D156" s="849"/>
      <c r="E156" s="849"/>
      <c r="F156" s="849"/>
      <c r="G156" s="850"/>
      <c r="H156" s="320"/>
      <c r="I156" s="609"/>
      <c r="J156" s="306"/>
      <c r="K156" s="306"/>
    </row>
    <row r="157" spans="1:11" x14ac:dyDescent="0.2">
      <c r="A157" s="324"/>
      <c r="B157" s="851"/>
      <c r="C157" s="851"/>
      <c r="D157" s="851"/>
      <c r="E157" s="851"/>
      <c r="F157" s="851"/>
      <c r="G157" s="852"/>
      <c r="H157" s="325"/>
      <c r="I157" s="608"/>
      <c r="J157" s="314"/>
      <c r="K157" s="314"/>
    </row>
    <row r="158" spans="1:11" ht="15" x14ac:dyDescent="0.25">
      <c r="A158" s="326"/>
      <c r="C158" s="270"/>
      <c r="D158" s="836" t="s">
        <v>131</v>
      </c>
      <c r="E158" s="837"/>
      <c r="F158" s="837"/>
      <c r="G158" s="837"/>
      <c r="H158" s="837"/>
      <c r="I158" s="837"/>
      <c r="J158" s="838"/>
      <c r="K158" s="328">
        <f>SUM(K150:K157)</f>
        <v>148.7688</v>
      </c>
    </row>
    <row r="159" spans="1:11" x14ac:dyDescent="0.2">
      <c r="A159" s="326" t="s">
        <v>132</v>
      </c>
      <c r="B159" s="329"/>
      <c r="C159" s="330">
        <v>99.6</v>
      </c>
      <c r="D159" s="853" t="s">
        <v>133</v>
      </c>
      <c r="E159" s="854"/>
      <c r="F159" s="854"/>
      <c r="G159" s="854"/>
      <c r="H159" s="854"/>
      <c r="I159" s="854"/>
      <c r="J159" s="855"/>
      <c r="K159" s="328">
        <f>K147+K158</f>
        <v>876.02</v>
      </c>
    </row>
    <row r="160" spans="1:11" x14ac:dyDescent="0.2">
      <c r="A160" s="331"/>
      <c r="B160" s="329"/>
      <c r="C160" s="332"/>
      <c r="D160" s="856" t="s">
        <v>134</v>
      </c>
      <c r="E160" s="856"/>
      <c r="F160" s="857"/>
      <c r="G160" s="857"/>
      <c r="H160" s="857"/>
      <c r="I160" s="857"/>
      <c r="J160" s="858"/>
      <c r="K160" s="328">
        <f>ROUND((K159/C159),4)</f>
        <v>8.7954000000000008</v>
      </c>
    </row>
    <row r="161" spans="1:11" x14ac:dyDescent="0.2">
      <c r="A161" s="326"/>
      <c r="B161" s="329"/>
      <c r="C161" s="333"/>
      <c r="D161" s="380"/>
      <c r="E161" s="380"/>
      <c r="F161" s="380"/>
      <c r="G161" s="380"/>
      <c r="H161" s="380"/>
      <c r="I161" s="610" t="s">
        <v>135</v>
      </c>
      <c r="J161" s="334">
        <v>0.58399999999999996</v>
      </c>
      <c r="K161" s="328">
        <v>5.1400000000000001E-2</v>
      </c>
    </row>
    <row r="162" spans="1:11" x14ac:dyDescent="0.2">
      <c r="A162" s="326"/>
      <c r="B162" s="329"/>
      <c r="C162" s="333"/>
      <c r="D162" s="380"/>
      <c r="E162" s="380"/>
      <c r="F162" s="380"/>
      <c r="G162" s="380"/>
      <c r="H162" s="380"/>
      <c r="I162" s="610" t="s">
        <v>136</v>
      </c>
      <c r="J162" s="334">
        <v>14.23</v>
      </c>
      <c r="K162" s="328">
        <v>2.3386999999999998</v>
      </c>
    </row>
    <row r="163" spans="1:11" x14ac:dyDescent="0.2">
      <c r="A163" s="822" t="s">
        <v>137</v>
      </c>
      <c r="B163" s="839"/>
      <c r="C163" s="839"/>
      <c r="D163" s="839"/>
      <c r="E163" s="839"/>
      <c r="F163" s="841"/>
      <c r="G163" s="843" t="s">
        <v>42</v>
      </c>
      <c r="H163" s="844"/>
      <c r="I163" s="831" t="s">
        <v>126</v>
      </c>
      <c r="J163" s="830" t="s">
        <v>138</v>
      </c>
      <c r="K163" s="830" t="s">
        <v>139</v>
      </c>
    </row>
    <row r="164" spans="1:11" x14ac:dyDescent="0.2">
      <c r="A164" s="824"/>
      <c r="B164" s="840"/>
      <c r="C164" s="840"/>
      <c r="D164" s="840"/>
      <c r="E164" s="840"/>
      <c r="F164" s="842"/>
      <c r="G164" s="845"/>
      <c r="H164" s="846"/>
      <c r="I164" s="831"/>
      <c r="J164" s="830"/>
      <c r="K164" s="831"/>
    </row>
    <row r="165" spans="1:11" x14ac:dyDescent="0.2">
      <c r="A165" s="323"/>
      <c r="B165" s="301"/>
      <c r="C165" s="301"/>
      <c r="D165" s="301"/>
      <c r="E165" s="301"/>
      <c r="F165" s="293"/>
      <c r="G165" s="847"/>
      <c r="H165" s="848"/>
      <c r="I165" s="599"/>
      <c r="J165" s="335"/>
      <c r="K165" s="336"/>
    </row>
    <row r="166" spans="1:11" x14ac:dyDescent="0.2">
      <c r="A166" s="323"/>
      <c r="B166" s="301"/>
      <c r="C166" s="301"/>
      <c r="D166" s="301"/>
      <c r="E166" s="301"/>
      <c r="F166" s="302"/>
      <c r="G166" s="832"/>
      <c r="H166" s="833"/>
      <c r="I166" s="606"/>
      <c r="J166" s="337"/>
      <c r="K166" s="306"/>
    </row>
    <row r="167" spans="1:11" x14ac:dyDescent="0.2">
      <c r="A167" s="323"/>
      <c r="B167" s="301"/>
      <c r="C167" s="301"/>
      <c r="D167" s="301"/>
      <c r="E167" s="301"/>
      <c r="F167" s="302"/>
      <c r="G167" s="832"/>
      <c r="H167" s="833"/>
      <c r="I167" s="606"/>
      <c r="J167" s="337"/>
      <c r="K167" s="306"/>
    </row>
    <row r="168" spans="1:11" x14ac:dyDescent="0.2">
      <c r="A168" s="323"/>
      <c r="B168" s="301"/>
      <c r="C168" s="301"/>
      <c r="D168" s="301"/>
      <c r="E168" s="301"/>
      <c r="F168" s="302"/>
      <c r="G168" s="832"/>
      <c r="H168" s="833"/>
      <c r="I168" s="606"/>
      <c r="J168" s="337"/>
      <c r="K168" s="306"/>
    </row>
    <row r="169" spans="1:11" x14ac:dyDescent="0.2">
      <c r="A169" s="836" t="s">
        <v>140</v>
      </c>
      <c r="B169" s="837"/>
      <c r="C169" s="837"/>
      <c r="D169" s="837"/>
      <c r="E169" s="837"/>
      <c r="F169" s="837"/>
      <c r="G169" s="837"/>
      <c r="H169" s="837"/>
      <c r="I169" s="837"/>
      <c r="J169" s="838"/>
      <c r="K169" s="338"/>
    </row>
    <row r="170" spans="1:11" x14ac:dyDescent="0.2">
      <c r="A170" s="822" t="s">
        <v>141</v>
      </c>
      <c r="B170" s="839"/>
      <c r="C170" s="839"/>
      <c r="D170" s="839"/>
      <c r="E170" s="839"/>
      <c r="F170" s="841"/>
      <c r="G170" s="843" t="s">
        <v>42</v>
      </c>
      <c r="H170" s="844"/>
      <c r="I170" s="831" t="s">
        <v>126</v>
      </c>
      <c r="J170" s="830" t="s">
        <v>138</v>
      </c>
      <c r="K170" s="830" t="s">
        <v>139</v>
      </c>
    </row>
    <row r="171" spans="1:11" x14ac:dyDescent="0.2">
      <c r="A171" s="824"/>
      <c r="B171" s="840"/>
      <c r="C171" s="840"/>
      <c r="D171" s="840"/>
      <c r="E171" s="840"/>
      <c r="F171" s="842"/>
      <c r="G171" s="845"/>
      <c r="H171" s="846"/>
      <c r="I171" s="831"/>
      <c r="J171" s="830"/>
      <c r="K171" s="831"/>
    </row>
    <row r="172" spans="1:11" x14ac:dyDescent="0.2">
      <c r="A172" s="323"/>
      <c r="B172" s="301"/>
      <c r="C172" s="301"/>
      <c r="D172" s="301"/>
      <c r="E172" s="301"/>
      <c r="F172" s="302"/>
      <c r="G172" s="832"/>
      <c r="H172" s="833"/>
      <c r="I172" s="606"/>
      <c r="J172" s="362"/>
      <c r="K172" s="322">
        <f>ROUND((G172*J172),4)</f>
        <v>0</v>
      </c>
    </row>
    <row r="173" spans="1:11" x14ac:dyDescent="0.2">
      <c r="A173" s="323"/>
      <c r="B173" s="301"/>
      <c r="C173" s="301"/>
      <c r="D173" s="301"/>
      <c r="E173" s="301"/>
      <c r="F173" s="302"/>
      <c r="G173" s="832"/>
      <c r="H173" s="833"/>
      <c r="I173" s="606"/>
      <c r="J173" s="337"/>
      <c r="K173" s="306"/>
    </row>
    <row r="174" spans="1:11" x14ac:dyDescent="0.2">
      <c r="A174" s="323"/>
      <c r="B174" s="301"/>
      <c r="C174" s="301"/>
      <c r="D174" s="301"/>
      <c r="E174" s="301"/>
      <c r="F174" s="302"/>
      <c r="G174" s="832"/>
      <c r="H174" s="833"/>
      <c r="I174" s="606"/>
      <c r="J174" s="337"/>
      <c r="K174" s="306"/>
    </row>
    <row r="175" spans="1:11" x14ac:dyDescent="0.2">
      <c r="A175" s="324"/>
      <c r="B175" s="309"/>
      <c r="C175" s="309"/>
      <c r="D175" s="309"/>
      <c r="E175" s="309"/>
      <c r="F175" s="310"/>
      <c r="G175" s="834"/>
      <c r="H175" s="835"/>
      <c r="I175" s="605"/>
      <c r="J175" s="339"/>
      <c r="K175" s="314"/>
    </row>
    <row r="176" spans="1:11" x14ac:dyDescent="0.2">
      <c r="A176" s="836" t="s">
        <v>142</v>
      </c>
      <c r="B176" s="837"/>
      <c r="C176" s="837"/>
      <c r="D176" s="837"/>
      <c r="E176" s="837"/>
      <c r="F176" s="837"/>
      <c r="G176" s="837"/>
      <c r="H176" s="837"/>
      <c r="I176" s="837"/>
      <c r="J176" s="838"/>
      <c r="K176" s="328">
        <f>SUM(K172:K175)</f>
        <v>0</v>
      </c>
    </row>
    <row r="177" spans="1:11" x14ac:dyDescent="0.2">
      <c r="A177" s="822" t="s">
        <v>143</v>
      </c>
      <c r="B177" s="839"/>
      <c r="C177" s="839"/>
      <c r="D177" s="839"/>
      <c r="E177" s="839"/>
      <c r="F177" s="841"/>
      <c r="G177" s="843" t="s">
        <v>42</v>
      </c>
      <c r="H177" s="844"/>
      <c r="I177" s="831" t="s">
        <v>126</v>
      </c>
      <c r="J177" s="830" t="s">
        <v>138</v>
      </c>
      <c r="K177" s="830" t="s">
        <v>139</v>
      </c>
    </row>
    <row r="178" spans="1:11" x14ac:dyDescent="0.2">
      <c r="A178" s="824"/>
      <c r="B178" s="840"/>
      <c r="C178" s="840"/>
      <c r="D178" s="840"/>
      <c r="E178" s="840"/>
      <c r="F178" s="842"/>
      <c r="G178" s="845"/>
      <c r="H178" s="846"/>
      <c r="I178" s="831"/>
      <c r="J178" s="830"/>
      <c r="K178" s="831"/>
    </row>
    <row r="179" spans="1:11" ht="33.75" x14ac:dyDescent="0.2">
      <c r="A179" s="323" t="s">
        <v>352</v>
      </c>
      <c r="B179" s="301" t="s">
        <v>353</v>
      </c>
      <c r="C179" s="301"/>
      <c r="D179" s="301"/>
      <c r="E179" s="301"/>
      <c r="F179" s="302"/>
      <c r="G179" s="832">
        <v>1.02</v>
      </c>
      <c r="H179" s="833"/>
      <c r="I179" s="606" t="s">
        <v>158</v>
      </c>
      <c r="J179" s="362">
        <v>7.49</v>
      </c>
      <c r="K179" s="322">
        <f>ROUND((G179*J179),4)</f>
        <v>7.6398000000000001</v>
      </c>
    </row>
    <row r="180" spans="1:11" x14ac:dyDescent="0.2">
      <c r="A180" s="323"/>
      <c r="B180" s="301"/>
      <c r="C180" s="301"/>
      <c r="D180" s="301"/>
      <c r="E180" s="301"/>
      <c r="F180" s="302"/>
      <c r="G180" s="832"/>
      <c r="H180" s="833"/>
      <c r="I180" s="606"/>
      <c r="J180" s="337"/>
      <c r="K180" s="306"/>
    </row>
    <row r="181" spans="1:11" x14ac:dyDescent="0.2">
      <c r="A181" s="323"/>
      <c r="B181" s="301"/>
      <c r="C181" s="301"/>
      <c r="D181" s="301"/>
      <c r="E181" s="301"/>
      <c r="F181" s="302"/>
      <c r="G181" s="832"/>
      <c r="H181" s="833"/>
      <c r="I181" s="606"/>
      <c r="J181" s="337"/>
      <c r="K181" s="306"/>
    </row>
    <row r="182" spans="1:11" x14ac:dyDescent="0.2">
      <c r="A182" s="324"/>
      <c r="B182" s="309"/>
      <c r="C182" s="309"/>
      <c r="D182" s="309"/>
      <c r="E182" s="309"/>
      <c r="F182" s="310"/>
      <c r="G182" s="834"/>
      <c r="H182" s="835"/>
      <c r="I182" s="605"/>
      <c r="J182" s="339"/>
      <c r="K182" s="314"/>
    </row>
    <row r="183" spans="1:11" x14ac:dyDescent="0.2">
      <c r="A183" s="836" t="s">
        <v>144</v>
      </c>
      <c r="B183" s="837"/>
      <c r="C183" s="837"/>
      <c r="D183" s="837"/>
      <c r="E183" s="837"/>
      <c r="F183" s="837"/>
      <c r="G183" s="837"/>
      <c r="H183" s="837"/>
      <c r="I183" s="837"/>
      <c r="J183" s="838"/>
      <c r="K183" s="328">
        <f>SUM(K179:K182)</f>
        <v>7.6398000000000001</v>
      </c>
    </row>
    <row r="184" spans="1:11" x14ac:dyDescent="0.2">
      <c r="A184" s="822" t="s">
        <v>145</v>
      </c>
      <c r="B184" s="823"/>
      <c r="C184" s="820" t="s">
        <v>146</v>
      </c>
      <c r="D184" s="340" t="s">
        <v>147</v>
      </c>
      <c r="E184" s="818" t="s">
        <v>148</v>
      </c>
      <c r="F184" s="818"/>
      <c r="G184" s="819"/>
      <c r="H184" s="814" t="s">
        <v>149</v>
      </c>
      <c r="I184" s="815"/>
      <c r="J184" s="816"/>
      <c r="K184" s="812" t="s">
        <v>150</v>
      </c>
    </row>
    <row r="185" spans="1:11" x14ac:dyDescent="0.2">
      <c r="A185" s="826"/>
      <c r="B185" s="827"/>
      <c r="C185" s="821"/>
      <c r="D185" s="341"/>
      <c r="E185" s="378" t="s">
        <v>151</v>
      </c>
      <c r="F185" s="342" t="s">
        <v>152</v>
      </c>
      <c r="G185" s="343" t="s">
        <v>153</v>
      </c>
      <c r="H185" s="378" t="s">
        <v>151</v>
      </c>
      <c r="I185" s="342" t="s">
        <v>152</v>
      </c>
      <c r="J185" s="342" t="s">
        <v>153</v>
      </c>
      <c r="K185" s="813"/>
    </row>
    <row r="186" spans="1:11" ht="33.75" x14ac:dyDescent="0.2">
      <c r="A186" s="319" t="s">
        <v>354</v>
      </c>
      <c r="B186" s="293" t="s">
        <v>353</v>
      </c>
      <c r="C186" s="363">
        <v>1.02</v>
      </c>
      <c r="D186" s="345" t="s">
        <v>159</v>
      </c>
      <c r="E186" s="364">
        <v>1.2</v>
      </c>
      <c r="F186" s="365">
        <v>0.96</v>
      </c>
      <c r="G186" s="366">
        <v>0.77</v>
      </c>
      <c r="H186" s="367">
        <v>0</v>
      </c>
      <c r="I186" s="607">
        <v>0</v>
      </c>
      <c r="J186" s="368">
        <v>0</v>
      </c>
      <c r="K186" s="361">
        <f>ROUND((ROUND(E186*H186+F186*I186+G186*J186,2)*C186),4)</f>
        <v>0</v>
      </c>
    </row>
    <row r="187" spans="1:11" x14ac:dyDescent="0.2">
      <c r="A187" s="323"/>
      <c r="B187" s="301"/>
      <c r="C187" s="344"/>
      <c r="D187" s="350"/>
      <c r="E187" s="351"/>
      <c r="F187" s="352"/>
      <c r="G187" s="353"/>
      <c r="H187" s="379"/>
      <c r="I187" s="613"/>
      <c r="J187" s="349"/>
      <c r="K187" s="306"/>
    </row>
    <row r="188" spans="1:11" x14ac:dyDescent="0.2">
      <c r="A188" s="323"/>
      <c r="B188" s="301"/>
      <c r="C188" s="344"/>
      <c r="D188" s="350"/>
      <c r="E188" s="351"/>
      <c r="F188" s="352"/>
      <c r="G188" s="353"/>
      <c r="H188" s="379"/>
      <c r="I188" s="613"/>
      <c r="J188" s="349"/>
      <c r="K188" s="306"/>
    </row>
    <row r="189" spans="1:11" x14ac:dyDescent="0.2">
      <c r="A189" s="324"/>
      <c r="B189" s="309"/>
      <c r="C189" s="354"/>
      <c r="D189" s="355"/>
      <c r="E189" s="356"/>
      <c r="F189" s="357"/>
      <c r="G189" s="358"/>
      <c r="H189" s="379"/>
      <c r="I189" s="613"/>
      <c r="J189" s="349"/>
      <c r="K189" s="314"/>
    </row>
    <row r="190" spans="1:11" x14ac:dyDescent="0.2">
      <c r="A190" s="828" t="s">
        <v>154</v>
      </c>
      <c r="B190" s="808"/>
      <c r="C190" s="808"/>
      <c r="D190" s="829"/>
      <c r="E190" s="808"/>
      <c r="F190" s="808"/>
      <c r="G190" s="808"/>
      <c r="H190" s="808"/>
      <c r="I190" s="808"/>
      <c r="J190" s="809"/>
      <c r="K190" s="328">
        <f>SUM(K186:K189)</f>
        <v>0</v>
      </c>
    </row>
    <row r="191" spans="1:11" x14ac:dyDescent="0.2">
      <c r="A191" s="807" t="s">
        <v>155</v>
      </c>
      <c r="B191" s="808"/>
      <c r="C191" s="808"/>
      <c r="D191" s="808"/>
      <c r="E191" s="808"/>
      <c r="F191" s="808"/>
      <c r="G191" s="808"/>
      <c r="H191" s="808"/>
      <c r="I191" s="808"/>
      <c r="J191" s="809"/>
      <c r="K191" s="359">
        <f>ROUND((K160+K161+K162+K176+K183+K190),2)</f>
        <v>18.829999999999998</v>
      </c>
    </row>
    <row r="192" spans="1:11" x14ac:dyDescent="0.2">
      <c r="A192" s="807" t="s">
        <v>23</v>
      </c>
      <c r="B192" s="808"/>
      <c r="C192" s="808"/>
      <c r="D192" s="808"/>
      <c r="E192" s="808"/>
      <c r="F192" s="808"/>
      <c r="G192" s="808"/>
      <c r="H192" s="808"/>
      <c r="I192" s="808"/>
      <c r="J192" s="809"/>
      <c r="K192" s="359">
        <f>ROUND((K191*  26.76/100),4)</f>
        <v>5.0388999999999999</v>
      </c>
    </row>
    <row r="193" spans="1:11" x14ac:dyDescent="0.2">
      <c r="A193" s="807" t="s">
        <v>156</v>
      </c>
      <c r="B193" s="808"/>
      <c r="C193" s="808"/>
      <c r="D193" s="808"/>
      <c r="E193" s="808"/>
      <c r="F193" s="808"/>
      <c r="G193" s="808"/>
      <c r="H193" s="808"/>
      <c r="I193" s="808"/>
      <c r="J193" s="809"/>
      <c r="K193" s="359">
        <f>K191+K192</f>
        <v>23.868899999999996</v>
      </c>
    </row>
    <row r="196" spans="1:11" ht="56.25" customHeight="1" x14ac:dyDescent="0.2">
      <c r="A196" s="804" t="s">
        <v>110</v>
      </c>
      <c r="B196" s="805"/>
      <c r="C196" s="805"/>
      <c r="D196" s="805"/>
      <c r="E196" s="805"/>
      <c r="F196" s="805"/>
      <c r="G196" s="805"/>
      <c r="H196" s="805"/>
      <c r="I196" s="805"/>
      <c r="J196" s="805"/>
      <c r="K196" s="806"/>
    </row>
    <row r="197" spans="1:11" ht="18" customHeight="1" x14ac:dyDescent="0.2">
      <c r="A197" s="275" t="s">
        <v>111</v>
      </c>
      <c r="B197" s="276"/>
      <c r="C197" s="802"/>
      <c r="D197" s="802"/>
      <c r="E197" s="802"/>
      <c r="F197" s="802"/>
      <c r="G197" s="802"/>
      <c r="H197" s="802"/>
      <c r="I197" s="802"/>
      <c r="J197" s="802"/>
      <c r="K197" s="803"/>
    </row>
    <row r="198" spans="1:11" ht="18" customHeight="1" x14ac:dyDescent="0.2">
      <c r="A198" s="275" t="s">
        <v>315</v>
      </c>
      <c r="B198" s="276"/>
      <c r="C198" s="277" t="s">
        <v>66</v>
      </c>
      <c r="E198" s="810" t="s">
        <v>316</v>
      </c>
      <c r="F198" s="810"/>
      <c r="G198" s="810"/>
      <c r="H198" s="279"/>
      <c r="I198" s="604" t="s">
        <v>112</v>
      </c>
      <c r="J198" s="810" t="s">
        <v>113</v>
      </c>
      <c r="K198" s="811"/>
    </row>
    <row r="199" spans="1:11" x14ac:dyDescent="0.2">
      <c r="A199" s="280" t="s">
        <v>114</v>
      </c>
      <c r="B199" s="281" t="s">
        <v>355</v>
      </c>
      <c r="C199" s="282"/>
      <c r="D199" s="282"/>
      <c r="E199" s="282"/>
      <c r="F199" s="282"/>
      <c r="G199" s="282"/>
      <c r="H199" s="282"/>
      <c r="I199" s="282"/>
      <c r="J199" s="282"/>
      <c r="K199" s="283"/>
    </row>
    <row r="200" spans="1:11" x14ac:dyDescent="0.2">
      <c r="A200" s="284" t="s">
        <v>115</v>
      </c>
      <c r="B200" s="285"/>
      <c r="D200" s="286"/>
      <c r="E200" s="286"/>
      <c r="F200" s="286"/>
      <c r="G200" s="286"/>
      <c r="H200" s="286"/>
      <c r="I200" s="603"/>
      <c r="J200" s="287" t="s">
        <v>52</v>
      </c>
      <c r="K200" s="288" t="s">
        <v>318</v>
      </c>
    </row>
    <row r="201" spans="1:11" ht="23.25" customHeight="1" x14ac:dyDescent="0.2">
      <c r="A201" s="869" t="s">
        <v>356</v>
      </c>
      <c r="B201" s="870"/>
      <c r="C201" s="870"/>
      <c r="D201" s="870"/>
      <c r="E201" s="870"/>
      <c r="F201" s="870"/>
      <c r="G201" s="870"/>
      <c r="H201" s="870"/>
      <c r="I201" s="871"/>
      <c r="J201" s="289" t="s">
        <v>116</v>
      </c>
      <c r="K201" s="288" t="s">
        <v>357</v>
      </c>
    </row>
    <row r="202" spans="1:11" x14ac:dyDescent="0.2">
      <c r="A202" s="826" t="s">
        <v>117</v>
      </c>
      <c r="B202" s="872"/>
      <c r="C202" s="839"/>
      <c r="D202" s="839"/>
      <c r="E202" s="823"/>
      <c r="F202" s="290" t="s">
        <v>54</v>
      </c>
      <c r="G202" s="873" t="s">
        <v>118</v>
      </c>
      <c r="H202" s="874"/>
      <c r="I202" s="813" t="s">
        <v>119</v>
      </c>
      <c r="J202" s="813"/>
      <c r="K202" s="867" t="s">
        <v>120</v>
      </c>
    </row>
    <row r="203" spans="1:11" ht="25.5" x14ac:dyDescent="0.2">
      <c r="A203" s="826"/>
      <c r="B203" s="872"/>
      <c r="C203" s="872"/>
      <c r="D203" s="872"/>
      <c r="E203" s="827"/>
      <c r="F203" s="290"/>
      <c r="G203" s="290" t="s">
        <v>121</v>
      </c>
      <c r="H203" s="381" t="s">
        <v>122</v>
      </c>
      <c r="I203" s="290" t="s">
        <v>123</v>
      </c>
      <c r="J203" s="290" t="s">
        <v>122</v>
      </c>
      <c r="K203" s="868"/>
    </row>
    <row r="204" spans="1:11" s="299" customFormat="1" x14ac:dyDescent="0.25">
      <c r="A204" s="291" t="s">
        <v>358</v>
      </c>
      <c r="B204" s="292" t="s">
        <v>359</v>
      </c>
      <c r="C204" s="292"/>
      <c r="D204" s="292"/>
      <c r="E204" s="293"/>
      <c r="F204" s="294">
        <v>1</v>
      </c>
      <c r="G204" s="295">
        <v>1</v>
      </c>
      <c r="H204" s="296">
        <v>0</v>
      </c>
      <c r="I204" s="602">
        <v>288.68560000000002</v>
      </c>
      <c r="J204" s="297">
        <v>77.227800000000002</v>
      </c>
      <c r="K204" s="298">
        <f>ROUND((ROUND((G204*I204+H204*J204),4)*F204),4)</f>
        <v>288.68560000000002</v>
      </c>
    </row>
    <row r="205" spans="1:11" s="299" customFormat="1" x14ac:dyDescent="0.25">
      <c r="A205" s="300"/>
      <c r="B205" s="301"/>
      <c r="C205" s="301"/>
      <c r="D205" s="301"/>
      <c r="E205" s="302"/>
      <c r="F205" s="303"/>
      <c r="G205" s="304"/>
      <c r="H205" s="305"/>
      <c r="I205" s="600"/>
      <c r="J205" s="306"/>
      <c r="K205" s="307"/>
    </row>
    <row r="206" spans="1:11" s="299" customFormat="1" x14ac:dyDescent="0.25">
      <c r="A206" s="300"/>
      <c r="B206" s="301"/>
      <c r="C206" s="301"/>
      <c r="D206" s="301"/>
      <c r="E206" s="302"/>
      <c r="F206" s="303"/>
      <c r="G206" s="304"/>
      <c r="H206" s="305"/>
      <c r="I206" s="600"/>
      <c r="J206" s="306"/>
      <c r="K206" s="307"/>
    </row>
    <row r="207" spans="1:11" s="299" customFormat="1" x14ac:dyDescent="0.25">
      <c r="A207" s="300"/>
      <c r="B207" s="301"/>
      <c r="C207" s="301"/>
      <c r="D207" s="301"/>
      <c r="E207" s="302"/>
      <c r="F207" s="303"/>
      <c r="G207" s="304"/>
      <c r="H207" s="305"/>
      <c r="I207" s="600"/>
      <c r="J207" s="306"/>
      <c r="K207" s="307"/>
    </row>
    <row r="208" spans="1:11" s="299" customFormat="1" x14ac:dyDescent="0.25">
      <c r="A208" s="300"/>
      <c r="B208" s="301"/>
      <c r="C208" s="301"/>
      <c r="D208" s="301"/>
      <c r="E208" s="302"/>
      <c r="F208" s="303"/>
      <c r="G208" s="304"/>
      <c r="H208" s="305"/>
      <c r="I208" s="600"/>
      <c r="J208" s="306"/>
      <c r="K208" s="307"/>
    </row>
    <row r="209" spans="1:11" s="299" customFormat="1" x14ac:dyDescent="0.25">
      <c r="A209" s="300"/>
      <c r="B209" s="301"/>
      <c r="C209" s="301"/>
      <c r="D209" s="301"/>
      <c r="E209" s="302"/>
      <c r="F209" s="303"/>
      <c r="G209" s="304"/>
      <c r="H209" s="305"/>
      <c r="I209" s="600"/>
      <c r="J209" s="306"/>
      <c r="K209" s="307"/>
    </row>
    <row r="210" spans="1:11" s="299" customFormat="1" x14ac:dyDescent="0.25">
      <c r="A210" s="300"/>
      <c r="B210" s="301"/>
      <c r="C210" s="301"/>
      <c r="D210" s="301"/>
      <c r="E210" s="302"/>
      <c r="F210" s="303"/>
      <c r="G210" s="304"/>
      <c r="H210" s="305"/>
      <c r="I210" s="600"/>
      <c r="J210" s="306"/>
      <c r="K210" s="307"/>
    </row>
    <row r="211" spans="1:11" s="299" customFormat="1" x14ac:dyDescent="0.25">
      <c r="A211" s="308"/>
      <c r="B211" s="309"/>
      <c r="C211" s="309"/>
      <c r="D211" s="309"/>
      <c r="E211" s="310"/>
      <c r="F211" s="311"/>
      <c r="G211" s="312"/>
      <c r="H211" s="313"/>
      <c r="I211" s="611"/>
      <c r="J211" s="314"/>
      <c r="K211" s="315"/>
    </row>
    <row r="212" spans="1:11" x14ac:dyDescent="0.2">
      <c r="A212" s="861" t="s">
        <v>124</v>
      </c>
      <c r="B212" s="862"/>
      <c r="C212" s="862"/>
      <c r="D212" s="862"/>
      <c r="E212" s="862"/>
      <c r="F212" s="837"/>
      <c r="G212" s="837"/>
      <c r="H212" s="837"/>
      <c r="I212" s="837"/>
      <c r="J212" s="838"/>
      <c r="K212" s="316">
        <f>SUM(K204:K211)</f>
        <v>288.68560000000002</v>
      </c>
    </row>
    <row r="213" spans="1:11" ht="15.75" customHeight="1" x14ac:dyDescent="0.2">
      <c r="A213" s="822" t="s">
        <v>125</v>
      </c>
      <c r="B213" s="839"/>
      <c r="C213" s="839"/>
      <c r="D213" s="839"/>
      <c r="E213" s="839"/>
      <c r="F213" s="317"/>
      <c r="G213" s="317"/>
      <c r="H213" s="863" t="s">
        <v>54</v>
      </c>
      <c r="I213" s="865" t="s">
        <v>126</v>
      </c>
      <c r="J213" s="867" t="s">
        <v>127</v>
      </c>
      <c r="K213" s="867" t="s">
        <v>120</v>
      </c>
    </row>
    <row r="214" spans="1:11" ht="21.75" customHeight="1" x14ac:dyDescent="0.25">
      <c r="A214" s="824"/>
      <c r="B214" s="840"/>
      <c r="C214" s="840"/>
      <c r="D214" s="840"/>
      <c r="E214" s="840"/>
      <c r="F214" s="318"/>
      <c r="G214" s="269"/>
      <c r="H214" s="864"/>
      <c r="I214" s="866"/>
      <c r="J214" s="868"/>
      <c r="K214" s="868"/>
    </row>
    <row r="215" spans="1:11" x14ac:dyDescent="0.2">
      <c r="A215" s="319"/>
      <c r="B215" s="859"/>
      <c r="C215" s="859"/>
      <c r="D215" s="859"/>
      <c r="E215" s="859"/>
      <c r="F215" s="859"/>
      <c r="G215" s="860"/>
      <c r="H215" s="320"/>
      <c r="I215" s="609"/>
      <c r="J215" s="321"/>
      <c r="K215" s="322"/>
    </row>
    <row r="216" spans="1:11" x14ac:dyDescent="0.2">
      <c r="A216" s="323"/>
      <c r="B216" s="849"/>
      <c r="C216" s="849"/>
      <c r="D216" s="849"/>
      <c r="E216" s="849"/>
      <c r="F216" s="849"/>
      <c r="G216" s="850"/>
      <c r="H216" s="320"/>
      <c r="I216" s="609"/>
      <c r="J216" s="306"/>
      <c r="K216" s="306"/>
    </row>
    <row r="217" spans="1:11" x14ac:dyDescent="0.2">
      <c r="A217" s="323"/>
      <c r="B217" s="849"/>
      <c r="C217" s="849"/>
      <c r="D217" s="849"/>
      <c r="E217" s="849"/>
      <c r="F217" s="849"/>
      <c r="G217" s="850"/>
      <c r="H217" s="320"/>
      <c r="I217" s="609"/>
      <c r="J217" s="306"/>
      <c r="K217" s="306"/>
    </row>
    <row r="218" spans="1:11" x14ac:dyDescent="0.2">
      <c r="A218" s="323"/>
      <c r="B218" s="849"/>
      <c r="C218" s="849"/>
      <c r="D218" s="849"/>
      <c r="E218" s="849"/>
      <c r="F218" s="849"/>
      <c r="G218" s="850"/>
      <c r="H218" s="320"/>
      <c r="I218" s="609"/>
      <c r="J218" s="306"/>
      <c r="K218" s="306"/>
    </row>
    <row r="219" spans="1:11" x14ac:dyDescent="0.2">
      <c r="A219" s="323"/>
      <c r="B219" s="849"/>
      <c r="C219" s="849"/>
      <c r="D219" s="849"/>
      <c r="E219" s="849"/>
      <c r="F219" s="849"/>
      <c r="G219" s="850"/>
      <c r="H219" s="320"/>
      <c r="I219" s="609"/>
      <c r="J219" s="306"/>
      <c r="K219" s="306"/>
    </row>
    <row r="220" spans="1:11" x14ac:dyDescent="0.2">
      <c r="A220" s="323"/>
      <c r="B220" s="849"/>
      <c r="C220" s="849"/>
      <c r="D220" s="849"/>
      <c r="E220" s="849"/>
      <c r="F220" s="849"/>
      <c r="G220" s="850"/>
      <c r="H220" s="320"/>
      <c r="I220" s="609"/>
      <c r="J220" s="306"/>
      <c r="K220" s="306"/>
    </row>
    <row r="221" spans="1:11" x14ac:dyDescent="0.2">
      <c r="A221" s="323"/>
      <c r="B221" s="849"/>
      <c r="C221" s="849"/>
      <c r="D221" s="849"/>
      <c r="E221" s="849"/>
      <c r="F221" s="849"/>
      <c r="G221" s="850"/>
      <c r="H221" s="320"/>
      <c r="I221" s="609"/>
      <c r="J221" s="306"/>
      <c r="K221" s="306"/>
    </row>
    <row r="222" spans="1:11" x14ac:dyDescent="0.2">
      <c r="A222" s="324"/>
      <c r="B222" s="851"/>
      <c r="C222" s="851"/>
      <c r="D222" s="851"/>
      <c r="E222" s="851"/>
      <c r="F222" s="851"/>
      <c r="G222" s="852"/>
      <c r="H222" s="325"/>
      <c r="I222" s="608"/>
      <c r="J222" s="314"/>
      <c r="K222" s="314"/>
    </row>
    <row r="223" spans="1:11" ht="15" x14ac:dyDescent="0.25">
      <c r="A223" s="326"/>
      <c r="C223" s="270"/>
      <c r="D223" s="836" t="s">
        <v>131</v>
      </c>
      <c r="E223" s="837"/>
      <c r="F223" s="837"/>
      <c r="G223" s="837"/>
      <c r="H223" s="837"/>
      <c r="I223" s="837"/>
      <c r="J223" s="838"/>
      <c r="K223" s="328">
        <f>SUM(K215:K222)</f>
        <v>0</v>
      </c>
    </row>
    <row r="224" spans="1:11" x14ac:dyDescent="0.2">
      <c r="A224" s="326" t="s">
        <v>132</v>
      </c>
      <c r="B224" s="329"/>
      <c r="C224" s="330">
        <v>373.5</v>
      </c>
      <c r="D224" s="853" t="s">
        <v>133</v>
      </c>
      <c r="E224" s="854"/>
      <c r="F224" s="854"/>
      <c r="G224" s="854"/>
      <c r="H224" s="854"/>
      <c r="I224" s="854"/>
      <c r="J224" s="855"/>
      <c r="K224" s="328">
        <f>K212+K223</f>
        <v>288.68560000000002</v>
      </c>
    </row>
    <row r="225" spans="1:11" x14ac:dyDescent="0.2">
      <c r="A225" s="331"/>
      <c r="B225" s="329"/>
      <c r="C225" s="332"/>
      <c r="D225" s="856" t="s">
        <v>134</v>
      </c>
      <c r="E225" s="856"/>
      <c r="F225" s="857"/>
      <c r="G225" s="857"/>
      <c r="H225" s="857"/>
      <c r="I225" s="857"/>
      <c r="J225" s="858"/>
      <c r="K225" s="328">
        <f>ROUND((K224/C224),4)</f>
        <v>0.77290000000000003</v>
      </c>
    </row>
    <row r="226" spans="1:11" x14ac:dyDescent="0.2">
      <c r="A226" s="326"/>
      <c r="B226" s="329"/>
      <c r="C226" s="333"/>
      <c r="D226" s="380"/>
      <c r="E226" s="380"/>
      <c r="F226" s="380"/>
      <c r="G226" s="380"/>
      <c r="H226" s="380"/>
      <c r="I226" s="610" t="s">
        <v>135</v>
      </c>
      <c r="J226" s="334" t="s">
        <v>160</v>
      </c>
      <c r="K226" s="328">
        <v>0</v>
      </c>
    </row>
    <row r="227" spans="1:11" x14ac:dyDescent="0.2">
      <c r="A227" s="326"/>
      <c r="B227" s="329"/>
      <c r="C227" s="333"/>
      <c r="D227" s="380"/>
      <c r="E227" s="380"/>
      <c r="F227" s="380"/>
      <c r="G227" s="380"/>
      <c r="H227" s="380"/>
      <c r="I227" s="610" t="s">
        <v>136</v>
      </c>
      <c r="J227" s="334">
        <v>14.23</v>
      </c>
      <c r="K227" s="328">
        <v>0.11</v>
      </c>
    </row>
    <row r="228" spans="1:11" x14ac:dyDescent="0.2">
      <c r="A228" s="822" t="s">
        <v>137</v>
      </c>
      <c r="B228" s="839"/>
      <c r="C228" s="839"/>
      <c r="D228" s="839"/>
      <c r="E228" s="839"/>
      <c r="F228" s="841"/>
      <c r="G228" s="843" t="s">
        <v>42</v>
      </c>
      <c r="H228" s="844"/>
      <c r="I228" s="831" t="s">
        <v>126</v>
      </c>
      <c r="J228" s="830" t="s">
        <v>138</v>
      </c>
      <c r="K228" s="830" t="s">
        <v>139</v>
      </c>
    </row>
    <row r="229" spans="1:11" x14ac:dyDescent="0.2">
      <c r="A229" s="824"/>
      <c r="B229" s="840"/>
      <c r="C229" s="840"/>
      <c r="D229" s="840"/>
      <c r="E229" s="840"/>
      <c r="F229" s="842"/>
      <c r="G229" s="845"/>
      <c r="H229" s="846"/>
      <c r="I229" s="831"/>
      <c r="J229" s="830"/>
      <c r="K229" s="831"/>
    </row>
    <row r="230" spans="1:11" x14ac:dyDescent="0.2">
      <c r="A230" s="323"/>
      <c r="B230" s="301"/>
      <c r="C230" s="301"/>
      <c r="D230" s="301"/>
      <c r="E230" s="301"/>
      <c r="F230" s="293"/>
      <c r="G230" s="847"/>
      <c r="H230" s="848"/>
      <c r="I230" s="599"/>
      <c r="J230" s="335"/>
      <c r="K230" s="336"/>
    </row>
    <row r="231" spans="1:11" x14ac:dyDescent="0.2">
      <c r="A231" s="323"/>
      <c r="B231" s="301"/>
      <c r="C231" s="301"/>
      <c r="D231" s="301"/>
      <c r="E231" s="301"/>
      <c r="F231" s="302"/>
      <c r="G231" s="832"/>
      <c r="H231" s="833"/>
      <c r="I231" s="606"/>
      <c r="J231" s="337"/>
      <c r="K231" s="306"/>
    </row>
    <row r="232" spans="1:11" x14ac:dyDescent="0.2">
      <c r="A232" s="323"/>
      <c r="B232" s="301"/>
      <c r="C232" s="301"/>
      <c r="D232" s="301"/>
      <c r="E232" s="301"/>
      <c r="F232" s="302"/>
      <c r="G232" s="832"/>
      <c r="H232" s="833"/>
      <c r="I232" s="606"/>
      <c r="J232" s="337"/>
      <c r="K232" s="306"/>
    </row>
    <row r="233" spans="1:11" x14ac:dyDescent="0.2">
      <c r="A233" s="323"/>
      <c r="B233" s="301"/>
      <c r="C233" s="301"/>
      <c r="D233" s="301"/>
      <c r="E233" s="301"/>
      <c r="F233" s="302"/>
      <c r="G233" s="832"/>
      <c r="H233" s="833"/>
      <c r="I233" s="606"/>
      <c r="J233" s="337"/>
      <c r="K233" s="306"/>
    </row>
    <row r="234" spans="1:11" x14ac:dyDescent="0.2">
      <c r="A234" s="836" t="s">
        <v>140</v>
      </c>
      <c r="B234" s="837"/>
      <c r="C234" s="837"/>
      <c r="D234" s="837"/>
      <c r="E234" s="837"/>
      <c r="F234" s="837"/>
      <c r="G234" s="837"/>
      <c r="H234" s="837"/>
      <c r="I234" s="837"/>
      <c r="J234" s="838"/>
      <c r="K234" s="338"/>
    </row>
    <row r="235" spans="1:11" x14ac:dyDescent="0.2">
      <c r="A235" s="822" t="s">
        <v>141</v>
      </c>
      <c r="B235" s="839"/>
      <c r="C235" s="839"/>
      <c r="D235" s="839"/>
      <c r="E235" s="839"/>
      <c r="F235" s="841"/>
      <c r="G235" s="843" t="s">
        <v>42</v>
      </c>
      <c r="H235" s="844"/>
      <c r="I235" s="831" t="s">
        <v>126</v>
      </c>
      <c r="J235" s="830" t="s">
        <v>138</v>
      </c>
      <c r="K235" s="830" t="s">
        <v>139</v>
      </c>
    </row>
    <row r="236" spans="1:11" x14ac:dyDescent="0.2">
      <c r="A236" s="824"/>
      <c r="B236" s="840"/>
      <c r="C236" s="840"/>
      <c r="D236" s="840"/>
      <c r="E236" s="840"/>
      <c r="F236" s="842"/>
      <c r="G236" s="845"/>
      <c r="H236" s="846"/>
      <c r="I236" s="831"/>
      <c r="J236" s="830"/>
      <c r="K236" s="831"/>
    </row>
    <row r="237" spans="1:11" x14ac:dyDescent="0.2">
      <c r="A237" s="323"/>
      <c r="B237" s="301"/>
      <c r="C237" s="301"/>
      <c r="D237" s="301"/>
      <c r="E237" s="301"/>
      <c r="F237" s="302"/>
      <c r="G237" s="832"/>
      <c r="H237" s="833"/>
      <c r="I237" s="606"/>
      <c r="J237" s="337"/>
      <c r="K237" s="306"/>
    </row>
    <row r="238" spans="1:11" x14ac:dyDescent="0.2">
      <c r="A238" s="323"/>
      <c r="B238" s="301"/>
      <c r="C238" s="301"/>
      <c r="D238" s="301"/>
      <c r="E238" s="301"/>
      <c r="F238" s="302"/>
      <c r="G238" s="832"/>
      <c r="H238" s="833"/>
      <c r="I238" s="606"/>
      <c r="J238" s="337"/>
      <c r="K238" s="306"/>
    </row>
    <row r="239" spans="1:11" x14ac:dyDescent="0.2">
      <c r="A239" s="323"/>
      <c r="B239" s="301"/>
      <c r="C239" s="301"/>
      <c r="D239" s="301"/>
      <c r="E239" s="301"/>
      <c r="F239" s="302"/>
      <c r="G239" s="832"/>
      <c r="H239" s="833"/>
      <c r="I239" s="606"/>
      <c r="J239" s="337"/>
      <c r="K239" s="306"/>
    </row>
    <row r="240" spans="1:11" x14ac:dyDescent="0.2">
      <c r="A240" s="324"/>
      <c r="B240" s="309"/>
      <c r="C240" s="309"/>
      <c r="D240" s="309"/>
      <c r="E240" s="309"/>
      <c r="F240" s="310"/>
      <c r="G240" s="834"/>
      <c r="H240" s="835"/>
      <c r="I240" s="605"/>
      <c r="J240" s="339"/>
      <c r="K240" s="314"/>
    </row>
    <row r="241" spans="1:11" x14ac:dyDescent="0.2">
      <c r="A241" s="836" t="s">
        <v>142</v>
      </c>
      <c r="B241" s="837"/>
      <c r="C241" s="837"/>
      <c r="D241" s="837"/>
      <c r="E241" s="837"/>
      <c r="F241" s="837"/>
      <c r="G241" s="837"/>
      <c r="H241" s="837"/>
      <c r="I241" s="837"/>
      <c r="J241" s="838"/>
      <c r="K241" s="338"/>
    </row>
    <row r="242" spans="1:11" x14ac:dyDescent="0.2">
      <c r="A242" s="822" t="s">
        <v>143</v>
      </c>
      <c r="B242" s="839"/>
      <c r="C242" s="839"/>
      <c r="D242" s="839"/>
      <c r="E242" s="839"/>
      <c r="F242" s="841"/>
      <c r="G242" s="843" t="s">
        <v>42</v>
      </c>
      <c r="H242" s="844"/>
      <c r="I242" s="831" t="s">
        <v>126</v>
      </c>
      <c r="J242" s="830" t="s">
        <v>138</v>
      </c>
      <c r="K242" s="830" t="s">
        <v>139</v>
      </c>
    </row>
    <row r="243" spans="1:11" x14ac:dyDescent="0.2">
      <c r="A243" s="824"/>
      <c r="B243" s="840"/>
      <c r="C243" s="840"/>
      <c r="D243" s="840"/>
      <c r="E243" s="840"/>
      <c r="F243" s="842"/>
      <c r="G243" s="845"/>
      <c r="H243" s="846"/>
      <c r="I243" s="831"/>
      <c r="J243" s="830"/>
      <c r="K243" s="831"/>
    </row>
    <row r="244" spans="1:11" x14ac:dyDescent="0.2">
      <c r="A244" s="323"/>
      <c r="B244" s="301"/>
      <c r="C244" s="301"/>
      <c r="D244" s="301"/>
      <c r="E244" s="301"/>
      <c r="F244" s="302"/>
      <c r="G244" s="832"/>
      <c r="H244" s="833"/>
      <c r="I244" s="606"/>
      <c r="J244" s="337"/>
      <c r="K244" s="306"/>
    </row>
    <row r="245" spans="1:11" x14ac:dyDescent="0.2">
      <c r="A245" s="323"/>
      <c r="B245" s="301"/>
      <c r="C245" s="301"/>
      <c r="D245" s="301"/>
      <c r="E245" s="301"/>
      <c r="F245" s="302"/>
      <c r="G245" s="832"/>
      <c r="H245" s="833"/>
      <c r="I245" s="606"/>
      <c r="J245" s="337"/>
      <c r="K245" s="306"/>
    </row>
    <row r="246" spans="1:11" x14ac:dyDescent="0.2">
      <c r="A246" s="323"/>
      <c r="B246" s="301"/>
      <c r="C246" s="301"/>
      <c r="D246" s="301"/>
      <c r="E246" s="301"/>
      <c r="F246" s="302"/>
      <c r="G246" s="832"/>
      <c r="H246" s="833"/>
      <c r="I246" s="606"/>
      <c r="J246" s="337"/>
      <c r="K246" s="306"/>
    </row>
    <row r="247" spans="1:11" x14ac:dyDescent="0.2">
      <c r="A247" s="324"/>
      <c r="B247" s="309"/>
      <c r="C247" s="309"/>
      <c r="D247" s="309"/>
      <c r="E247" s="309"/>
      <c r="F247" s="310"/>
      <c r="G247" s="834"/>
      <c r="H247" s="835"/>
      <c r="I247" s="605"/>
      <c r="J247" s="339"/>
      <c r="K247" s="314"/>
    </row>
    <row r="248" spans="1:11" x14ac:dyDescent="0.2">
      <c r="A248" s="836" t="s">
        <v>144</v>
      </c>
      <c r="B248" s="837"/>
      <c r="C248" s="837"/>
      <c r="D248" s="837"/>
      <c r="E248" s="837"/>
      <c r="F248" s="837"/>
      <c r="G248" s="837"/>
      <c r="H248" s="837"/>
      <c r="I248" s="837"/>
      <c r="J248" s="838"/>
      <c r="K248" s="338"/>
    </row>
    <row r="249" spans="1:11" x14ac:dyDescent="0.2">
      <c r="A249" s="822" t="s">
        <v>145</v>
      </c>
      <c r="B249" s="823"/>
      <c r="C249" s="820" t="s">
        <v>146</v>
      </c>
      <c r="D249" s="340" t="s">
        <v>147</v>
      </c>
      <c r="E249" s="818" t="s">
        <v>148</v>
      </c>
      <c r="F249" s="818"/>
      <c r="G249" s="819"/>
      <c r="H249" s="814" t="s">
        <v>149</v>
      </c>
      <c r="I249" s="815"/>
      <c r="J249" s="816"/>
      <c r="K249" s="812" t="s">
        <v>150</v>
      </c>
    </row>
    <row r="250" spans="1:11" x14ac:dyDescent="0.2">
      <c r="A250" s="826"/>
      <c r="B250" s="827"/>
      <c r="C250" s="821"/>
      <c r="D250" s="341"/>
      <c r="E250" s="378" t="s">
        <v>151</v>
      </c>
      <c r="F250" s="342" t="s">
        <v>152</v>
      </c>
      <c r="G250" s="343" t="s">
        <v>153</v>
      </c>
      <c r="H250" s="378" t="s">
        <v>151</v>
      </c>
      <c r="I250" s="342" t="s">
        <v>152</v>
      </c>
      <c r="J250" s="342" t="s">
        <v>153</v>
      </c>
      <c r="K250" s="813"/>
    </row>
    <row r="251" spans="1:11" x14ac:dyDescent="0.2">
      <c r="A251" s="319"/>
      <c r="B251" s="293"/>
      <c r="C251" s="344"/>
      <c r="D251" s="345"/>
      <c r="E251" s="346"/>
      <c r="F251" s="347"/>
      <c r="G251" s="348"/>
      <c r="H251" s="379"/>
      <c r="I251" s="613"/>
      <c r="J251" s="349"/>
      <c r="K251" s="336"/>
    </row>
    <row r="252" spans="1:11" x14ac:dyDescent="0.2">
      <c r="A252" s="323"/>
      <c r="B252" s="301"/>
      <c r="C252" s="344"/>
      <c r="D252" s="350"/>
      <c r="E252" s="351"/>
      <c r="F252" s="352"/>
      <c r="G252" s="353"/>
      <c r="H252" s="379"/>
      <c r="I252" s="613"/>
      <c r="J252" s="349"/>
      <c r="K252" s="306"/>
    </row>
    <row r="253" spans="1:11" x14ac:dyDescent="0.2">
      <c r="A253" s="323"/>
      <c r="B253" s="301"/>
      <c r="C253" s="344"/>
      <c r="D253" s="350"/>
      <c r="E253" s="351"/>
      <c r="F253" s="352"/>
      <c r="G253" s="353"/>
      <c r="H253" s="379"/>
      <c r="I253" s="613"/>
      <c r="J253" s="349"/>
      <c r="K253" s="306"/>
    </row>
    <row r="254" spans="1:11" x14ac:dyDescent="0.2">
      <c r="A254" s="324"/>
      <c r="B254" s="309"/>
      <c r="C254" s="354"/>
      <c r="D254" s="355"/>
      <c r="E254" s="356"/>
      <c r="F254" s="357"/>
      <c r="G254" s="358"/>
      <c r="H254" s="379"/>
      <c r="I254" s="613"/>
      <c r="J254" s="349"/>
      <c r="K254" s="314"/>
    </row>
    <row r="255" spans="1:11" x14ac:dyDescent="0.2">
      <c r="A255" s="828" t="s">
        <v>154</v>
      </c>
      <c r="B255" s="808"/>
      <c r="C255" s="808"/>
      <c r="D255" s="829"/>
      <c r="E255" s="808"/>
      <c r="F255" s="808"/>
      <c r="G255" s="808"/>
      <c r="H255" s="808"/>
      <c r="I255" s="808"/>
      <c r="J255" s="809"/>
      <c r="K255" s="338"/>
    </row>
    <row r="256" spans="1:11" x14ac:dyDescent="0.2">
      <c r="A256" s="807" t="s">
        <v>155</v>
      </c>
      <c r="B256" s="808"/>
      <c r="C256" s="808"/>
      <c r="D256" s="808"/>
      <c r="E256" s="808"/>
      <c r="F256" s="808"/>
      <c r="G256" s="808"/>
      <c r="H256" s="808"/>
      <c r="I256" s="808"/>
      <c r="J256" s="809"/>
      <c r="K256" s="359">
        <f>ROUND((K225+K226+K227),2)</f>
        <v>0.88</v>
      </c>
    </row>
    <row r="257" spans="1:11" x14ac:dyDescent="0.2">
      <c r="A257" s="807" t="s">
        <v>23</v>
      </c>
      <c r="B257" s="808"/>
      <c r="C257" s="808"/>
      <c r="D257" s="808"/>
      <c r="E257" s="808"/>
      <c r="F257" s="808"/>
      <c r="G257" s="808"/>
      <c r="H257" s="808"/>
      <c r="I257" s="808"/>
      <c r="J257" s="809"/>
      <c r="K257" s="359">
        <f>ROUND((K256*  26.76/100),4)</f>
        <v>0.23549999999999999</v>
      </c>
    </row>
    <row r="258" spans="1:11" x14ac:dyDescent="0.2">
      <c r="A258" s="807" t="s">
        <v>156</v>
      </c>
      <c r="B258" s="808"/>
      <c r="C258" s="808"/>
      <c r="D258" s="808"/>
      <c r="E258" s="808"/>
      <c r="F258" s="808"/>
      <c r="G258" s="808"/>
      <c r="H258" s="808"/>
      <c r="I258" s="808"/>
      <c r="J258" s="809"/>
      <c r="K258" s="359">
        <f>K256+K257</f>
        <v>1.1154999999999999</v>
      </c>
    </row>
    <row r="261" spans="1:11" ht="56.25" customHeight="1" x14ac:dyDescent="0.2">
      <c r="A261" s="804" t="s">
        <v>110</v>
      </c>
      <c r="B261" s="805"/>
      <c r="C261" s="805"/>
      <c r="D261" s="805"/>
      <c r="E261" s="805"/>
      <c r="F261" s="805"/>
      <c r="G261" s="805"/>
      <c r="H261" s="805"/>
      <c r="I261" s="805"/>
      <c r="J261" s="805"/>
      <c r="K261" s="806"/>
    </row>
    <row r="262" spans="1:11" ht="18" customHeight="1" x14ac:dyDescent="0.2">
      <c r="A262" s="275" t="s">
        <v>111</v>
      </c>
      <c r="B262" s="276"/>
      <c r="C262" s="802"/>
      <c r="D262" s="802"/>
      <c r="E262" s="802"/>
      <c r="F262" s="802"/>
      <c r="G262" s="802"/>
      <c r="H262" s="802"/>
      <c r="I262" s="802"/>
      <c r="J262" s="802"/>
      <c r="K262" s="803"/>
    </row>
    <row r="263" spans="1:11" ht="18" customHeight="1" x14ac:dyDescent="0.2">
      <c r="A263" s="275" t="s">
        <v>315</v>
      </c>
      <c r="B263" s="276"/>
      <c r="C263" s="277" t="s">
        <v>66</v>
      </c>
      <c r="E263" s="810" t="s">
        <v>316</v>
      </c>
      <c r="F263" s="810"/>
      <c r="G263" s="810"/>
      <c r="H263" s="279"/>
      <c r="I263" s="604" t="s">
        <v>112</v>
      </c>
      <c r="J263" s="810" t="s">
        <v>113</v>
      </c>
      <c r="K263" s="811"/>
    </row>
    <row r="264" spans="1:11" x14ac:dyDescent="0.2">
      <c r="A264" s="280" t="s">
        <v>114</v>
      </c>
      <c r="B264" s="281" t="s">
        <v>360</v>
      </c>
      <c r="C264" s="282"/>
      <c r="D264" s="282"/>
      <c r="E264" s="282"/>
      <c r="F264" s="282"/>
      <c r="G264" s="282"/>
      <c r="H264" s="282"/>
      <c r="I264" s="282"/>
      <c r="J264" s="282"/>
      <c r="K264" s="283"/>
    </row>
    <row r="265" spans="1:11" x14ac:dyDescent="0.2">
      <c r="A265" s="284" t="s">
        <v>115</v>
      </c>
      <c r="B265" s="285"/>
      <c r="D265" s="286"/>
      <c r="E265" s="286"/>
      <c r="F265" s="286"/>
      <c r="G265" s="286"/>
      <c r="H265" s="286"/>
      <c r="I265" s="603"/>
      <c r="J265" s="287" t="s">
        <v>52</v>
      </c>
      <c r="K265" s="288" t="s">
        <v>318</v>
      </c>
    </row>
    <row r="266" spans="1:11" ht="23.25" customHeight="1" x14ac:dyDescent="0.2">
      <c r="A266" s="869" t="s">
        <v>361</v>
      </c>
      <c r="B266" s="870"/>
      <c r="C266" s="870"/>
      <c r="D266" s="870"/>
      <c r="E266" s="870"/>
      <c r="F266" s="870"/>
      <c r="G266" s="870"/>
      <c r="H266" s="870"/>
      <c r="I266" s="871"/>
      <c r="J266" s="289" t="s">
        <v>116</v>
      </c>
      <c r="K266" s="288" t="s">
        <v>345</v>
      </c>
    </row>
    <row r="267" spans="1:11" x14ac:dyDescent="0.2">
      <c r="A267" s="826" t="s">
        <v>117</v>
      </c>
      <c r="B267" s="872"/>
      <c r="C267" s="839"/>
      <c r="D267" s="839"/>
      <c r="E267" s="823"/>
      <c r="F267" s="290" t="s">
        <v>54</v>
      </c>
      <c r="G267" s="873" t="s">
        <v>118</v>
      </c>
      <c r="H267" s="874"/>
      <c r="I267" s="813" t="s">
        <v>119</v>
      </c>
      <c r="J267" s="813"/>
      <c r="K267" s="867" t="s">
        <v>120</v>
      </c>
    </row>
    <row r="268" spans="1:11" ht="25.5" x14ac:dyDescent="0.2">
      <c r="A268" s="826"/>
      <c r="B268" s="872"/>
      <c r="C268" s="872"/>
      <c r="D268" s="872"/>
      <c r="E268" s="827"/>
      <c r="F268" s="290"/>
      <c r="G268" s="290" t="s">
        <v>121</v>
      </c>
      <c r="H268" s="381" t="s">
        <v>122</v>
      </c>
      <c r="I268" s="290" t="s">
        <v>123</v>
      </c>
      <c r="J268" s="290" t="s">
        <v>122</v>
      </c>
      <c r="K268" s="868"/>
    </row>
    <row r="269" spans="1:11" s="299" customFormat="1" x14ac:dyDescent="0.25">
      <c r="A269" s="291"/>
      <c r="B269" s="292"/>
      <c r="C269" s="292"/>
      <c r="D269" s="292"/>
      <c r="E269" s="293"/>
      <c r="F269" s="294"/>
      <c r="G269" s="295"/>
      <c r="H269" s="296"/>
      <c r="I269" s="602"/>
      <c r="J269" s="297"/>
      <c r="K269" s="298"/>
    </row>
    <row r="270" spans="1:11" s="299" customFormat="1" x14ac:dyDescent="0.25">
      <c r="A270" s="300"/>
      <c r="B270" s="301"/>
      <c r="C270" s="301"/>
      <c r="D270" s="301"/>
      <c r="E270" s="302"/>
      <c r="F270" s="303"/>
      <c r="G270" s="304"/>
      <c r="H270" s="305"/>
      <c r="I270" s="600"/>
      <c r="J270" s="306"/>
      <c r="K270" s="307"/>
    </row>
    <row r="271" spans="1:11" s="299" customFormat="1" x14ac:dyDescent="0.25">
      <c r="A271" s="300"/>
      <c r="B271" s="301"/>
      <c r="C271" s="301"/>
      <c r="D271" s="301"/>
      <c r="E271" s="302"/>
      <c r="F271" s="303"/>
      <c r="G271" s="304"/>
      <c r="H271" s="305"/>
      <c r="I271" s="600"/>
      <c r="J271" s="306"/>
      <c r="K271" s="307"/>
    </row>
    <row r="272" spans="1:11" s="299" customFormat="1" x14ac:dyDescent="0.25">
      <c r="A272" s="300"/>
      <c r="B272" s="301"/>
      <c r="C272" s="301"/>
      <c r="D272" s="301"/>
      <c r="E272" s="302"/>
      <c r="F272" s="303"/>
      <c r="G272" s="304"/>
      <c r="H272" s="305"/>
      <c r="I272" s="600"/>
      <c r="J272" s="306"/>
      <c r="K272" s="307"/>
    </row>
    <row r="273" spans="1:11" s="299" customFormat="1" x14ac:dyDescent="0.25">
      <c r="A273" s="300"/>
      <c r="B273" s="301"/>
      <c r="C273" s="301"/>
      <c r="D273" s="301"/>
      <c r="E273" s="302"/>
      <c r="F273" s="303"/>
      <c r="G273" s="304"/>
      <c r="H273" s="305"/>
      <c r="I273" s="600"/>
      <c r="J273" s="306"/>
      <c r="K273" s="307"/>
    </row>
    <row r="274" spans="1:11" s="299" customFormat="1" x14ac:dyDescent="0.25">
      <c r="A274" s="300"/>
      <c r="B274" s="301"/>
      <c r="C274" s="301"/>
      <c r="D274" s="301"/>
      <c r="E274" s="302"/>
      <c r="F274" s="303"/>
      <c r="G274" s="304"/>
      <c r="H274" s="305"/>
      <c r="I274" s="600"/>
      <c r="J274" s="306"/>
      <c r="K274" s="307"/>
    </row>
    <row r="275" spans="1:11" s="299" customFormat="1" x14ac:dyDescent="0.25">
      <c r="A275" s="300"/>
      <c r="B275" s="301"/>
      <c r="C275" s="301"/>
      <c r="D275" s="301"/>
      <c r="E275" s="302"/>
      <c r="F275" s="303"/>
      <c r="G275" s="304"/>
      <c r="H275" s="305"/>
      <c r="I275" s="600"/>
      <c r="J275" s="306"/>
      <c r="K275" s="307"/>
    </row>
    <row r="276" spans="1:11" s="299" customFormat="1" x14ac:dyDescent="0.25">
      <c r="A276" s="308"/>
      <c r="B276" s="309"/>
      <c r="C276" s="309"/>
      <c r="D276" s="309"/>
      <c r="E276" s="310"/>
      <c r="F276" s="311"/>
      <c r="G276" s="312"/>
      <c r="H276" s="313"/>
      <c r="I276" s="611"/>
      <c r="J276" s="314"/>
      <c r="K276" s="315"/>
    </row>
    <row r="277" spans="1:11" x14ac:dyDescent="0.2">
      <c r="A277" s="861" t="s">
        <v>124</v>
      </c>
      <c r="B277" s="862"/>
      <c r="C277" s="862"/>
      <c r="D277" s="862"/>
      <c r="E277" s="862"/>
      <c r="F277" s="837"/>
      <c r="G277" s="837"/>
      <c r="H277" s="837"/>
      <c r="I277" s="837"/>
      <c r="J277" s="838"/>
      <c r="K277" s="316"/>
    </row>
    <row r="278" spans="1:11" ht="15.75" customHeight="1" x14ac:dyDescent="0.2">
      <c r="A278" s="822" t="s">
        <v>125</v>
      </c>
      <c r="B278" s="839"/>
      <c r="C278" s="839"/>
      <c r="D278" s="839"/>
      <c r="E278" s="839"/>
      <c r="F278" s="317"/>
      <c r="G278" s="317"/>
      <c r="H278" s="863" t="s">
        <v>54</v>
      </c>
      <c r="I278" s="865" t="s">
        <v>126</v>
      </c>
      <c r="J278" s="867" t="s">
        <v>127</v>
      </c>
      <c r="K278" s="867" t="s">
        <v>120</v>
      </c>
    </row>
    <row r="279" spans="1:11" ht="21.75" customHeight="1" x14ac:dyDescent="0.25">
      <c r="A279" s="824"/>
      <c r="B279" s="840"/>
      <c r="C279" s="840"/>
      <c r="D279" s="840"/>
      <c r="E279" s="840"/>
      <c r="F279" s="318"/>
      <c r="G279" s="269"/>
      <c r="H279" s="864"/>
      <c r="I279" s="866"/>
      <c r="J279" s="868"/>
      <c r="K279" s="868"/>
    </row>
    <row r="280" spans="1:11" x14ac:dyDescent="0.2">
      <c r="A280" s="319"/>
      <c r="B280" s="859"/>
      <c r="C280" s="859"/>
      <c r="D280" s="859"/>
      <c r="E280" s="859"/>
      <c r="F280" s="859"/>
      <c r="G280" s="860"/>
      <c r="H280" s="320"/>
      <c r="I280" s="609"/>
      <c r="J280" s="321"/>
      <c r="K280" s="322"/>
    </row>
    <row r="281" spans="1:11" x14ac:dyDescent="0.2">
      <c r="A281" s="323"/>
      <c r="B281" s="849"/>
      <c r="C281" s="849"/>
      <c r="D281" s="849"/>
      <c r="E281" s="849"/>
      <c r="F281" s="849"/>
      <c r="G281" s="850"/>
      <c r="H281" s="320"/>
      <c r="I281" s="609"/>
      <c r="J281" s="306"/>
      <c r="K281" s="306"/>
    </row>
    <row r="282" spans="1:11" x14ac:dyDescent="0.2">
      <c r="A282" s="323"/>
      <c r="B282" s="849"/>
      <c r="C282" s="849"/>
      <c r="D282" s="849"/>
      <c r="E282" s="849"/>
      <c r="F282" s="849"/>
      <c r="G282" s="850"/>
      <c r="H282" s="320"/>
      <c r="I282" s="609"/>
      <c r="J282" s="306"/>
      <c r="K282" s="306"/>
    </row>
    <row r="283" spans="1:11" x14ac:dyDescent="0.2">
      <c r="A283" s="323"/>
      <c r="B283" s="849"/>
      <c r="C283" s="849"/>
      <c r="D283" s="849"/>
      <c r="E283" s="849"/>
      <c r="F283" s="849"/>
      <c r="G283" s="850"/>
      <c r="H283" s="320"/>
      <c r="I283" s="609"/>
      <c r="J283" s="306"/>
      <c r="K283" s="306"/>
    </row>
    <row r="284" spans="1:11" x14ac:dyDescent="0.2">
      <c r="A284" s="323"/>
      <c r="B284" s="849"/>
      <c r="C284" s="849"/>
      <c r="D284" s="849"/>
      <c r="E284" s="849"/>
      <c r="F284" s="849"/>
      <c r="G284" s="850"/>
      <c r="H284" s="320"/>
      <c r="I284" s="609"/>
      <c r="J284" s="306"/>
      <c r="K284" s="306"/>
    </row>
    <row r="285" spans="1:11" x14ac:dyDescent="0.2">
      <c r="A285" s="323"/>
      <c r="B285" s="849"/>
      <c r="C285" s="849"/>
      <c r="D285" s="849"/>
      <c r="E285" s="849"/>
      <c r="F285" s="849"/>
      <c r="G285" s="850"/>
      <c r="H285" s="320"/>
      <c r="I285" s="609"/>
      <c r="J285" s="306"/>
      <c r="K285" s="306"/>
    </row>
    <row r="286" spans="1:11" x14ac:dyDescent="0.2">
      <c r="A286" s="323"/>
      <c r="B286" s="849"/>
      <c r="C286" s="849"/>
      <c r="D286" s="849"/>
      <c r="E286" s="849"/>
      <c r="F286" s="849"/>
      <c r="G286" s="850"/>
      <c r="H286" s="320"/>
      <c r="I286" s="609"/>
      <c r="J286" s="306"/>
      <c r="K286" s="306"/>
    </row>
    <row r="287" spans="1:11" x14ac:dyDescent="0.2">
      <c r="A287" s="324"/>
      <c r="B287" s="851"/>
      <c r="C287" s="851"/>
      <c r="D287" s="851"/>
      <c r="E287" s="851"/>
      <c r="F287" s="851"/>
      <c r="G287" s="852"/>
      <c r="H287" s="325"/>
      <c r="I287" s="608"/>
      <c r="J287" s="314"/>
      <c r="K287" s="314"/>
    </row>
    <row r="288" spans="1:11" ht="15" x14ac:dyDescent="0.25">
      <c r="A288" s="326"/>
      <c r="C288" s="270"/>
      <c r="D288" s="836" t="s">
        <v>131</v>
      </c>
      <c r="E288" s="837"/>
      <c r="F288" s="837"/>
      <c r="G288" s="837"/>
      <c r="H288" s="837"/>
      <c r="I288" s="837"/>
      <c r="J288" s="838"/>
      <c r="K288" s="328"/>
    </row>
    <row r="289" spans="1:11" x14ac:dyDescent="0.2">
      <c r="A289" s="326" t="s">
        <v>132</v>
      </c>
      <c r="B289" s="329"/>
      <c r="C289" s="330">
        <v>1</v>
      </c>
      <c r="D289" s="853" t="s">
        <v>133</v>
      </c>
      <c r="E289" s="854"/>
      <c r="F289" s="854"/>
      <c r="G289" s="854"/>
      <c r="H289" s="854"/>
      <c r="I289" s="854"/>
      <c r="J289" s="855"/>
      <c r="K289" s="328"/>
    </row>
    <row r="290" spans="1:11" x14ac:dyDescent="0.2">
      <c r="A290" s="331"/>
      <c r="B290" s="329"/>
      <c r="C290" s="332"/>
      <c r="D290" s="856" t="s">
        <v>134</v>
      </c>
      <c r="E290" s="856"/>
      <c r="F290" s="857"/>
      <c r="G290" s="857"/>
      <c r="H290" s="857"/>
      <c r="I290" s="857"/>
      <c r="J290" s="858"/>
      <c r="K290" s="328"/>
    </row>
    <row r="291" spans="1:11" x14ac:dyDescent="0.2">
      <c r="A291" s="822" t="s">
        <v>137</v>
      </c>
      <c r="B291" s="839"/>
      <c r="C291" s="839"/>
      <c r="D291" s="839"/>
      <c r="E291" s="839"/>
      <c r="F291" s="841"/>
      <c r="G291" s="843" t="s">
        <v>42</v>
      </c>
      <c r="H291" s="844"/>
      <c r="I291" s="831" t="s">
        <v>126</v>
      </c>
      <c r="J291" s="830" t="s">
        <v>138</v>
      </c>
      <c r="K291" s="830" t="s">
        <v>139</v>
      </c>
    </row>
    <row r="292" spans="1:11" x14ac:dyDescent="0.2">
      <c r="A292" s="824"/>
      <c r="B292" s="840"/>
      <c r="C292" s="840"/>
      <c r="D292" s="840"/>
      <c r="E292" s="840"/>
      <c r="F292" s="842"/>
      <c r="G292" s="845"/>
      <c r="H292" s="846"/>
      <c r="I292" s="831"/>
      <c r="J292" s="830"/>
      <c r="K292" s="831"/>
    </row>
    <row r="293" spans="1:11" x14ac:dyDescent="0.2">
      <c r="A293" s="323" t="s">
        <v>362</v>
      </c>
      <c r="B293" s="301" t="s">
        <v>363</v>
      </c>
      <c r="C293" s="301"/>
      <c r="D293" s="301"/>
      <c r="E293" s="301"/>
      <c r="F293" s="293"/>
      <c r="G293" s="847">
        <v>1</v>
      </c>
      <c r="H293" s="848"/>
      <c r="I293" s="599" t="s">
        <v>158</v>
      </c>
      <c r="J293" s="360">
        <v>4225.3599999999997</v>
      </c>
      <c r="K293" s="361">
        <f>ROUND((G293*J293),4)</f>
        <v>4225.3599999999997</v>
      </c>
    </row>
    <row r="294" spans="1:11" x14ac:dyDescent="0.2">
      <c r="A294" s="323"/>
      <c r="B294" s="301"/>
      <c r="C294" s="301"/>
      <c r="D294" s="301"/>
      <c r="E294" s="301"/>
      <c r="F294" s="302"/>
      <c r="G294" s="832"/>
      <c r="H294" s="833"/>
      <c r="I294" s="606"/>
      <c r="J294" s="337"/>
      <c r="K294" s="306"/>
    </row>
    <row r="295" spans="1:11" x14ac:dyDescent="0.2">
      <c r="A295" s="323"/>
      <c r="B295" s="301"/>
      <c r="C295" s="301"/>
      <c r="D295" s="301"/>
      <c r="E295" s="301"/>
      <c r="F295" s="302"/>
      <c r="G295" s="832"/>
      <c r="H295" s="833"/>
      <c r="I295" s="606"/>
      <c r="J295" s="337"/>
      <c r="K295" s="306"/>
    </row>
    <row r="296" spans="1:11" x14ac:dyDescent="0.2">
      <c r="A296" s="323"/>
      <c r="B296" s="301"/>
      <c r="C296" s="301"/>
      <c r="D296" s="301"/>
      <c r="E296" s="301"/>
      <c r="F296" s="302"/>
      <c r="G296" s="832"/>
      <c r="H296" s="833"/>
      <c r="I296" s="606"/>
      <c r="J296" s="337"/>
      <c r="K296" s="306"/>
    </row>
    <row r="297" spans="1:11" x14ac:dyDescent="0.2">
      <c r="A297" s="836" t="s">
        <v>140</v>
      </c>
      <c r="B297" s="837"/>
      <c r="C297" s="837"/>
      <c r="D297" s="837"/>
      <c r="E297" s="837"/>
      <c r="F297" s="837"/>
      <c r="G297" s="837"/>
      <c r="H297" s="837"/>
      <c r="I297" s="837"/>
      <c r="J297" s="838"/>
      <c r="K297" s="328">
        <f>SUM(K293:K296)</f>
        <v>4225.3599999999997</v>
      </c>
    </row>
    <row r="298" spans="1:11" x14ac:dyDescent="0.2">
      <c r="A298" s="822" t="s">
        <v>141</v>
      </c>
      <c r="B298" s="839"/>
      <c r="C298" s="839"/>
      <c r="D298" s="839"/>
      <c r="E298" s="839"/>
      <c r="F298" s="841"/>
      <c r="G298" s="843" t="s">
        <v>42</v>
      </c>
      <c r="H298" s="844"/>
      <c r="I298" s="831" t="s">
        <v>126</v>
      </c>
      <c r="J298" s="830" t="s">
        <v>138</v>
      </c>
      <c r="K298" s="830" t="s">
        <v>139</v>
      </c>
    </row>
    <row r="299" spans="1:11" x14ac:dyDescent="0.2">
      <c r="A299" s="824"/>
      <c r="B299" s="840"/>
      <c r="C299" s="840"/>
      <c r="D299" s="840"/>
      <c r="E299" s="840"/>
      <c r="F299" s="842"/>
      <c r="G299" s="845"/>
      <c r="H299" s="846"/>
      <c r="I299" s="831"/>
      <c r="J299" s="830"/>
      <c r="K299" s="831"/>
    </row>
    <row r="300" spans="1:11" x14ac:dyDescent="0.2">
      <c r="A300" s="323"/>
      <c r="B300" s="301"/>
      <c r="C300" s="301"/>
      <c r="D300" s="301"/>
      <c r="E300" s="301"/>
      <c r="F300" s="302"/>
      <c r="G300" s="832"/>
      <c r="H300" s="833"/>
      <c r="I300" s="606"/>
      <c r="J300" s="337"/>
      <c r="K300" s="306"/>
    </row>
    <row r="301" spans="1:11" x14ac:dyDescent="0.2">
      <c r="A301" s="323"/>
      <c r="B301" s="301"/>
      <c r="C301" s="301"/>
      <c r="D301" s="301"/>
      <c r="E301" s="301"/>
      <c r="F301" s="302"/>
      <c r="G301" s="832"/>
      <c r="H301" s="833"/>
      <c r="I301" s="606"/>
      <c r="J301" s="337"/>
      <c r="K301" s="306"/>
    </row>
    <row r="302" spans="1:11" x14ac:dyDescent="0.2">
      <c r="A302" s="323"/>
      <c r="B302" s="301"/>
      <c r="C302" s="301"/>
      <c r="D302" s="301"/>
      <c r="E302" s="301"/>
      <c r="F302" s="302"/>
      <c r="G302" s="832"/>
      <c r="H302" s="833"/>
      <c r="I302" s="606"/>
      <c r="J302" s="337"/>
      <c r="K302" s="306"/>
    </row>
    <row r="303" spans="1:11" x14ac:dyDescent="0.2">
      <c r="A303" s="324"/>
      <c r="B303" s="309"/>
      <c r="C303" s="309"/>
      <c r="D303" s="309"/>
      <c r="E303" s="309"/>
      <c r="F303" s="310"/>
      <c r="G303" s="834"/>
      <c r="H303" s="835"/>
      <c r="I303" s="605"/>
      <c r="J303" s="339"/>
      <c r="K303" s="314"/>
    </row>
    <row r="304" spans="1:11" x14ac:dyDescent="0.2">
      <c r="A304" s="836" t="s">
        <v>142</v>
      </c>
      <c r="B304" s="837"/>
      <c r="C304" s="837"/>
      <c r="D304" s="837"/>
      <c r="E304" s="837"/>
      <c r="F304" s="837"/>
      <c r="G304" s="837"/>
      <c r="H304" s="837"/>
      <c r="I304" s="837"/>
      <c r="J304" s="838"/>
      <c r="K304" s="338"/>
    </row>
    <row r="305" spans="1:11" x14ac:dyDescent="0.2">
      <c r="A305" s="822" t="s">
        <v>143</v>
      </c>
      <c r="B305" s="839"/>
      <c r="C305" s="839"/>
      <c r="D305" s="839"/>
      <c r="E305" s="839"/>
      <c r="F305" s="841"/>
      <c r="G305" s="843" t="s">
        <v>42</v>
      </c>
      <c r="H305" s="844"/>
      <c r="I305" s="831" t="s">
        <v>126</v>
      </c>
      <c r="J305" s="830" t="s">
        <v>138</v>
      </c>
      <c r="K305" s="830" t="s">
        <v>139</v>
      </c>
    </row>
    <row r="306" spans="1:11" x14ac:dyDescent="0.2">
      <c r="A306" s="824"/>
      <c r="B306" s="840"/>
      <c r="C306" s="840"/>
      <c r="D306" s="840"/>
      <c r="E306" s="840"/>
      <c r="F306" s="842"/>
      <c r="G306" s="845"/>
      <c r="H306" s="846"/>
      <c r="I306" s="831"/>
      <c r="J306" s="830"/>
      <c r="K306" s="831"/>
    </row>
    <row r="307" spans="1:11" x14ac:dyDescent="0.2">
      <c r="A307" s="323"/>
      <c r="B307" s="301"/>
      <c r="C307" s="301"/>
      <c r="D307" s="301"/>
      <c r="E307" s="301"/>
      <c r="F307" s="302"/>
      <c r="G307" s="832"/>
      <c r="H307" s="833"/>
      <c r="I307" s="606"/>
      <c r="J307" s="337"/>
      <c r="K307" s="306"/>
    </row>
    <row r="308" spans="1:11" x14ac:dyDescent="0.2">
      <c r="A308" s="323"/>
      <c r="B308" s="301"/>
      <c r="C308" s="301"/>
      <c r="D308" s="301"/>
      <c r="E308" s="301"/>
      <c r="F308" s="302"/>
      <c r="G308" s="832"/>
      <c r="H308" s="833"/>
      <c r="I308" s="606"/>
      <c r="J308" s="337"/>
      <c r="K308" s="306"/>
    </row>
    <row r="309" spans="1:11" x14ac:dyDescent="0.2">
      <c r="A309" s="323"/>
      <c r="B309" s="301"/>
      <c r="C309" s="301"/>
      <c r="D309" s="301"/>
      <c r="E309" s="301"/>
      <c r="F309" s="302"/>
      <c r="G309" s="832"/>
      <c r="H309" s="833"/>
      <c r="I309" s="606"/>
      <c r="J309" s="337"/>
      <c r="K309" s="306"/>
    </row>
    <row r="310" spans="1:11" x14ac:dyDescent="0.2">
      <c r="A310" s="324"/>
      <c r="B310" s="309"/>
      <c r="C310" s="309"/>
      <c r="D310" s="309"/>
      <c r="E310" s="309"/>
      <c r="F310" s="310"/>
      <c r="G310" s="834"/>
      <c r="H310" s="835"/>
      <c r="I310" s="605"/>
      <c r="J310" s="339"/>
      <c r="K310" s="314"/>
    </row>
    <row r="311" spans="1:11" x14ac:dyDescent="0.2">
      <c r="A311" s="836" t="s">
        <v>144</v>
      </c>
      <c r="B311" s="837"/>
      <c r="C311" s="837"/>
      <c r="D311" s="837"/>
      <c r="E311" s="837"/>
      <c r="F311" s="837"/>
      <c r="G311" s="837"/>
      <c r="H311" s="837"/>
      <c r="I311" s="837"/>
      <c r="J311" s="838"/>
      <c r="K311" s="338"/>
    </row>
    <row r="312" spans="1:11" x14ac:dyDescent="0.2">
      <c r="A312" s="822" t="s">
        <v>145</v>
      </c>
      <c r="B312" s="823"/>
      <c r="C312" s="820" t="s">
        <v>146</v>
      </c>
      <c r="D312" s="340" t="s">
        <v>147</v>
      </c>
      <c r="E312" s="818" t="s">
        <v>148</v>
      </c>
      <c r="F312" s="818"/>
      <c r="G312" s="819"/>
      <c r="H312" s="814" t="s">
        <v>149</v>
      </c>
      <c r="I312" s="815"/>
      <c r="J312" s="816"/>
      <c r="K312" s="812" t="s">
        <v>150</v>
      </c>
    </row>
    <row r="313" spans="1:11" x14ac:dyDescent="0.2">
      <c r="A313" s="826"/>
      <c r="B313" s="827"/>
      <c r="C313" s="821"/>
      <c r="D313" s="341"/>
      <c r="E313" s="378" t="s">
        <v>151</v>
      </c>
      <c r="F313" s="342" t="s">
        <v>152</v>
      </c>
      <c r="G313" s="343" t="s">
        <v>153</v>
      </c>
      <c r="H313" s="378" t="s">
        <v>151</v>
      </c>
      <c r="I313" s="342" t="s">
        <v>152</v>
      </c>
      <c r="J313" s="342" t="s">
        <v>153</v>
      </c>
      <c r="K313" s="813"/>
    </row>
    <row r="314" spans="1:11" x14ac:dyDescent="0.2">
      <c r="A314" s="319"/>
      <c r="B314" s="293"/>
      <c r="C314" s="344"/>
      <c r="D314" s="345"/>
      <c r="E314" s="346"/>
      <c r="F314" s="347"/>
      <c r="G314" s="348"/>
      <c r="H314" s="379"/>
      <c r="I314" s="613"/>
      <c r="J314" s="349"/>
      <c r="K314" s="336"/>
    </row>
    <row r="315" spans="1:11" x14ac:dyDescent="0.2">
      <c r="A315" s="323"/>
      <c r="B315" s="301"/>
      <c r="C315" s="344"/>
      <c r="D315" s="350"/>
      <c r="E315" s="351"/>
      <c r="F315" s="352"/>
      <c r="G315" s="353"/>
      <c r="H315" s="379"/>
      <c r="I315" s="613"/>
      <c r="J315" s="349"/>
      <c r="K315" s="306"/>
    </row>
    <row r="316" spans="1:11" x14ac:dyDescent="0.2">
      <c r="A316" s="323"/>
      <c r="B316" s="301"/>
      <c r="C316" s="344"/>
      <c r="D316" s="350"/>
      <c r="E316" s="351"/>
      <c r="F316" s="352"/>
      <c r="G316" s="353"/>
      <c r="H316" s="379"/>
      <c r="I316" s="613"/>
      <c r="J316" s="349"/>
      <c r="K316" s="306"/>
    </row>
    <row r="317" spans="1:11" x14ac:dyDescent="0.2">
      <c r="A317" s="324"/>
      <c r="B317" s="309"/>
      <c r="C317" s="354"/>
      <c r="D317" s="355"/>
      <c r="E317" s="356"/>
      <c r="F317" s="357"/>
      <c r="G317" s="358"/>
      <c r="H317" s="379"/>
      <c r="I317" s="613"/>
      <c r="J317" s="349"/>
      <c r="K317" s="314"/>
    </row>
    <row r="318" spans="1:11" x14ac:dyDescent="0.2">
      <c r="A318" s="828" t="s">
        <v>154</v>
      </c>
      <c r="B318" s="808"/>
      <c r="C318" s="808"/>
      <c r="D318" s="829"/>
      <c r="E318" s="808"/>
      <c r="F318" s="808"/>
      <c r="G318" s="808"/>
      <c r="H318" s="808"/>
      <c r="I318" s="808"/>
      <c r="J318" s="809"/>
      <c r="K318" s="338"/>
    </row>
    <row r="319" spans="1:11" x14ac:dyDescent="0.2">
      <c r="A319" s="807" t="s">
        <v>155</v>
      </c>
      <c r="B319" s="808"/>
      <c r="C319" s="808"/>
      <c r="D319" s="808"/>
      <c r="E319" s="808"/>
      <c r="F319" s="808"/>
      <c r="G319" s="808"/>
      <c r="H319" s="808"/>
      <c r="I319" s="808"/>
      <c r="J319" s="809"/>
      <c r="K319" s="359">
        <f>ROUND((K297),2)</f>
        <v>4225.3599999999997</v>
      </c>
    </row>
    <row r="320" spans="1:11" x14ac:dyDescent="0.2">
      <c r="A320" s="807" t="s">
        <v>23</v>
      </c>
      <c r="B320" s="808"/>
      <c r="C320" s="808"/>
      <c r="D320" s="808"/>
      <c r="E320" s="808"/>
      <c r="F320" s="808"/>
      <c r="G320" s="808"/>
      <c r="H320" s="808"/>
      <c r="I320" s="808"/>
      <c r="J320" s="809"/>
      <c r="K320" s="359">
        <f>ROUND((K319*  10.37/100),4)</f>
        <v>438.16980000000001</v>
      </c>
    </row>
    <row r="321" spans="1:11" x14ac:dyDescent="0.2">
      <c r="A321" s="807" t="s">
        <v>156</v>
      </c>
      <c r="B321" s="808"/>
      <c r="C321" s="808"/>
      <c r="D321" s="808"/>
      <c r="E321" s="808"/>
      <c r="F321" s="808"/>
      <c r="G321" s="808"/>
      <c r="H321" s="808"/>
      <c r="I321" s="808"/>
      <c r="J321" s="809"/>
      <c r="K321" s="359">
        <f>K319+K320</f>
        <v>4663.5297999999993</v>
      </c>
    </row>
    <row r="324" spans="1:11" ht="56.25" customHeight="1" x14ac:dyDescent="0.2">
      <c r="A324" s="804" t="s">
        <v>110</v>
      </c>
      <c r="B324" s="805"/>
      <c r="C324" s="805"/>
      <c r="D324" s="805"/>
      <c r="E324" s="805"/>
      <c r="F324" s="805"/>
      <c r="G324" s="805"/>
      <c r="H324" s="805"/>
      <c r="I324" s="805"/>
      <c r="J324" s="805"/>
      <c r="K324" s="806"/>
    </row>
    <row r="325" spans="1:11" ht="18" customHeight="1" x14ac:dyDescent="0.2">
      <c r="A325" s="275" t="s">
        <v>111</v>
      </c>
      <c r="B325" s="276"/>
      <c r="C325" s="802"/>
      <c r="D325" s="802"/>
      <c r="E325" s="802"/>
      <c r="F325" s="802"/>
      <c r="G325" s="802"/>
      <c r="H325" s="802"/>
      <c r="I325" s="802"/>
      <c r="J325" s="802"/>
      <c r="K325" s="803"/>
    </row>
    <row r="326" spans="1:11" ht="18" customHeight="1" x14ac:dyDescent="0.2">
      <c r="A326" s="275" t="s">
        <v>315</v>
      </c>
      <c r="B326" s="276"/>
      <c r="C326" s="277" t="s">
        <v>66</v>
      </c>
      <c r="E326" s="810" t="s">
        <v>316</v>
      </c>
      <c r="F326" s="810"/>
      <c r="G326" s="810"/>
      <c r="H326" s="279"/>
      <c r="I326" s="604" t="s">
        <v>112</v>
      </c>
      <c r="J326" s="810" t="s">
        <v>113</v>
      </c>
      <c r="K326" s="811"/>
    </row>
    <row r="327" spans="1:11" x14ac:dyDescent="0.2">
      <c r="A327" s="280" t="s">
        <v>114</v>
      </c>
      <c r="B327" s="281" t="s">
        <v>364</v>
      </c>
      <c r="C327" s="282"/>
      <c r="D327" s="282"/>
      <c r="E327" s="282"/>
      <c r="F327" s="282"/>
      <c r="G327" s="282"/>
      <c r="H327" s="282"/>
      <c r="I327" s="282"/>
      <c r="J327" s="282"/>
      <c r="K327" s="283"/>
    </row>
    <row r="328" spans="1:11" x14ac:dyDescent="0.2">
      <c r="A328" s="284" t="s">
        <v>115</v>
      </c>
      <c r="B328" s="285"/>
      <c r="D328" s="286"/>
      <c r="E328" s="286"/>
      <c r="F328" s="286"/>
      <c r="G328" s="286"/>
      <c r="H328" s="286"/>
      <c r="I328" s="603"/>
      <c r="J328" s="287" t="s">
        <v>52</v>
      </c>
      <c r="K328" s="288" t="s">
        <v>318</v>
      </c>
    </row>
    <row r="329" spans="1:11" ht="23.25" customHeight="1" x14ac:dyDescent="0.2">
      <c r="A329" s="869" t="s">
        <v>365</v>
      </c>
      <c r="B329" s="870"/>
      <c r="C329" s="870"/>
      <c r="D329" s="870"/>
      <c r="E329" s="870"/>
      <c r="F329" s="870"/>
      <c r="G329" s="870"/>
      <c r="H329" s="870"/>
      <c r="I329" s="871"/>
      <c r="J329" s="289" t="s">
        <v>116</v>
      </c>
      <c r="K329" s="288" t="s">
        <v>345</v>
      </c>
    </row>
    <row r="330" spans="1:11" x14ac:dyDescent="0.2">
      <c r="A330" s="822" t="s">
        <v>117</v>
      </c>
      <c r="B330" s="839"/>
      <c r="C330" s="839"/>
      <c r="D330" s="839"/>
      <c r="E330" s="823"/>
      <c r="F330" s="290" t="s">
        <v>54</v>
      </c>
      <c r="G330" s="873" t="s">
        <v>118</v>
      </c>
      <c r="H330" s="874"/>
      <c r="I330" s="873" t="s">
        <v>119</v>
      </c>
      <c r="J330" s="874"/>
      <c r="K330" s="867" t="s">
        <v>120</v>
      </c>
    </row>
    <row r="331" spans="1:11" ht="25.5" x14ac:dyDescent="0.2">
      <c r="A331" s="824"/>
      <c r="B331" s="840"/>
      <c r="C331" s="840"/>
      <c r="D331" s="840"/>
      <c r="E331" s="825"/>
      <c r="F331" s="290"/>
      <c r="G331" s="290" t="s">
        <v>121</v>
      </c>
      <c r="H331" s="381" t="s">
        <v>122</v>
      </c>
      <c r="I331" s="290" t="s">
        <v>123</v>
      </c>
      <c r="J331" s="290" t="s">
        <v>122</v>
      </c>
      <c r="K331" s="868"/>
    </row>
    <row r="332" spans="1:11" s="299" customFormat="1" x14ac:dyDescent="0.25">
      <c r="A332" s="291"/>
      <c r="B332" s="292"/>
      <c r="C332" s="292"/>
      <c r="D332" s="292"/>
      <c r="E332" s="293"/>
      <c r="F332" s="294"/>
      <c r="G332" s="295"/>
      <c r="H332" s="296"/>
      <c r="I332" s="602"/>
      <c r="J332" s="297"/>
      <c r="K332" s="298"/>
    </row>
    <row r="333" spans="1:11" s="299" customFormat="1" x14ac:dyDescent="0.25">
      <c r="A333" s="300"/>
      <c r="B333" s="301"/>
      <c r="C333" s="301"/>
      <c r="D333" s="301"/>
      <c r="E333" s="302"/>
      <c r="F333" s="303"/>
      <c r="G333" s="304"/>
      <c r="H333" s="305"/>
      <c r="I333" s="600"/>
      <c r="J333" s="306"/>
      <c r="K333" s="307"/>
    </row>
    <row r="334" spans="1:11" s="299" customFormat="1" x14ac:dyDescent="0.25">
      <c r="A334" s="300"/>
      <c r="B334" s="301"/>
      <c r="C334" s="301"/>
      <c r="D334" s="301"/>
      <c r="E334" s="302"/>
      <c r="F334" s="303"/>
      <c r="G334" s="304"/>
      <c r="H334" s="305"/>
      <c r="I334" s="600"/>
      <c r="J334" s="306"/>
      <c r="K334" s="307"/>
    </row>
    <row r="335" spans="1:11" s="299" customFormat="1" x14ac:dyDescent="0.25">
      <c r="A335" s="300"/>
      <c r="B335" s="301"/>
      <c r="C335" s="301"/>
      <c r="D335" s="301"/>
      <c r="E335" s="302"/>
      <c r="F335" s="303"/>
      <c r="G335" s="304"/>
      <c r="H335" s="305"/>
      <c r="I335" s="600"/>
      <c r="J335" s="306"/>
      <c r="K335" s="307"/>
    </row>
    <row r="336" spans="1:11" s="299" customFormat="1" x14ac:dyDescent="0.25">
      <c r="A336" s="300"/>
      <c r="B336" s="301"/>
      <c r="C336" s="301"/>
      <c r="D336" s="301"/>
      <c r="E336" s="302"/>
      <c r="F336" s="303"/>
      <c r="G336" s="304"/>
      <c r="H336" s="305"/>
      <c r="I336" s="600"/>
      <c r="J336" s="306"/>
      <c r="K336" s="307"/>
    </row>
    <row r="337" spans="1:11" s="299" customFormat="1" x14ac:dyDescent="0.25">
      <c r="A337" s="300"/>
      <c r="B337" s="301"/>
      <c r="C337" s="301"/>
      <c r="D337" s="301"/>
      <c r="E337" s="302"/>
      <c r="F337" s="303"/>
      <c r="G337" s="304"/>
      <c r="H337" s="305"/>
      <c r="I337" s="600"/>
      <c r="J337" s="306"/>
      <c r="K337" s="307"/>
    </row>
    <row r="338" spans="1:11" s="299" customFormat="1" x14ac:dyDescent="0.25">
      <c r="A338" s="300"/>
      <c r="B338" s="301"/>
      <c r="C338" s="301"/>
      <c r="D338" s="301"/>
      <c r="E338" s="302"/>
      <c r="F338" s="303"/>
      <c r="G338" s="304"/>
      <c r="H338" s="305"/>
      <c r="I338" s="600"/>
      <c r="J338" s="306"/>
      <c r="K338" s="307"/>
    </row>
    <row r="339" spans="1:11" s="299" customFormat="1" x14ac:dyDescent="0.25">
      <c r="A339" s="308"/>
      <c r="B339" s="309"/>
      <c r="C339" s="309"/>
      <c r="D339" s="309"/>
      <c r="E339" s="310"/>
      <c r="F339" s="311"/>
      <c r="G339" s="312"/>
      <c r="H339" s="313"/>
      <c r="I339" s="611"/>
      <c r="J339" s="314"/>
      <c r="K339" s="315"/>
    </row>
    <row r="340" spans="1:11" x14ac:dyDescent="0.2">
      <c r="A340" s="836" t="s">
        <v>124</v>
      </c>
      <c r="B340" s="837"/>
      <c r="C340" s="837"/>
      <c r="D340" s="837"/>
      <c r="E340" s="837"/>
      <c r="F340" s="837"/>
      <c r="G340" s="837"/>
      <c r="H340" s="837"/>
      <c r="I340" s="837"/>
      <c r="J340" s="838"/>
      <c r="K340" s="316"/>
    </row>
    <row r="341" spans="1:11" ht="15.75" customHeight="1" x14ac:dyDescent="0.2">
      <c r="A341" s="822" t="s">
        <v>125</v>
      </c>
      <c r="B341" s="839"/>
      <c r="C341" s="839"/>
      <c r="D341" s="839"/>
      <c r="E341" s="839"/>
      <c r="F341" s="317"/>
      <c r="G341" s="317"/>
      <c r="H341" s="863" t="s">
        <v>54</v>
      </c>
      <c r="I341" s="880" t="s">
        <v>126</v>
      </c>
      <c r="J341" s="867" t="s">
        <v>127</v>
      </c>
      <c r="K341" s="867" t="s">
        <v>120</v>
      </c>
    </row>
    <row r="342" spans="1:11" ht="21.75" customHeight="1" x14ac:dyDescent="0.25">
      <c r="A342" s="824"/>
      <c r="B342" s="840"/>
      <c r="C342" s="840"/>
      <c r="D342" s="840"/>
      <c r="E342" s="840"/>
      <c r="F342" s="318"/>
      <c r="G342" s="269"/>
      <c r="H342" s="864"/>
      <c r="I342" s="881"/>
      <c r="J342" s="868"/>
      <c r="K342" s="868"/>
    </row>
    <row r="343" spans="1:11" x14ac:dyDescent="0.2">
      <c r="A343" s="319"/>
      <c r="B343" s="859"/>
      <c r="C343" s="859"/>
      <c r="D343" s="859"/>
      <c r="E343" s="859"/>
      <c r="F343" s="859"/>
      <c r="G343" s="860"/>
      <c r="H343" s="320"/>
      <c r="I343" s="609"/>
      <c r="J343" s="321"/>
      <c r="K343" s="322"/>
    </row>
    <row r="344" spans="1:11" x14ac:dyDescent="0.2">
      <c r="A344" s="323"/>
      <c r="B344" s="849"/>
      <c r="C344" s="849"/>
      <c r="D344" s="849"/>
      <c r="E344" s="849"/>
      <c r="F344" s="849"/>
      <c r="G344" s="850"/>
      <c r="H344" s="320"/>
      <c r="I344" s="609"/>
      <c r="J344" s="306"/>
      <c r="K344" s="306"/>
    </row>
    <row r="345" spans="1:11" x14ac:dyDescent="0.2">
      <c r="A345" s="323"/>
      <c r="B345" s="849"/>
      <c r="C345" s="849"/>
      <c r="D345" s="849"/>
      <c r="E345" s="849"/>
      <c r="F345" s="849"/>
      <c r="G345" s="850"/>
      <c r="H345" s="320"/>
      <c r="I345" s="609"/>
      <c r="J345" s="306"/>
      <c r="K345" s="306"/>
    </row>
    <row r="346" spans="1:11" x14ac:dyDescent="0.2">
      <c r="A346" s="323"/>
      <c r="B346" s="849"/>
      <c r="C346" s="849"/>
      <c r="D346" s="849"/>
      <c r="E346" s="849"/>
      <c r="F346" s="849"/>
      <c r="G346" s="850"/>
      <c r="H346" s="320"/>
      <c r="I346" s="609"/>
      <c r="J346" s="306"/>
      <c r="K346" s="306"/>
    </row>
    <row r="347" spans="1:11" x14ac:dyDescent="0.2">
      <c r="A347" s="323"/>
      <c r="B347" s="849"/>
      <c r="C347" s="849"/>
      <c r="D347" s="849"/>
      <c r="E347" s="849"/>
      <c r="F347" s="849"/>
      <c r="G347" s="850"/>
      <c r="H347" s="320"/>
      <c r="I347" s="609"/>
      <c r="J347" s="306"/>
      <c r="K347" s="306"/>
    </row>
    <row r="348" spans="1:11" x14ac:dyDescent="0.2">
      <c r="A348" s="323"/>
      <c r="B348" s="849"/>
      <c r="C348" s="849"/>
      <c r="D348" s="849"/>
      <c r="E348" s="849"/>
      <c r="F348" s="849"/>
      <c r="G348" s="850"/>
      <c r="H348" s="320"/>
      <c r="I348" s="609"/>
      <c r="J348" s="306"/>
      <c r="K348" s="306"/>
    </row>
    <row r="349" spans="1:11" x14ac:dyDescent="0.2">
      <c r="A349" s="323"/>
      <c r="B349" s="849"/>
      <c r="C349" s="849"/>
      <c r="D349" s="849"/>
      <c r="E349" s="849"/>
      <c r="F349" s="849"/>
      <c r="G349" s="850"/>
      <c r="H349" s="320"/>
      <c r="I349" s="609"/>
      <c r="J349" s="306"/>
      <c r="K349" s="306"/>
    </row>
    <row r="350" spans="1:11" x14ac:dyDescent="0.2">
      <c r="A350" s="324"/>
      <c r="B350" s="851"/>
      <c r="C350" s="851"/>
      <c r="D350" s="851"/>
      <c r="E350" s="851"/>
      <c r="F350" s="851"/>
      <c r="G350" s="852"/>
      <c r="H350" s="325"/>
      <c r="I350" s="608"/>
      <c r="J350" s="314"/>
      <c r="K350" s="314"/>
    </row>
    <row r="351" spans="1:11" ht="15" x14ac:dyDescent="0.25">
      <c r="A351" s="326"/>
      <c r="C351" s="270"/>
      <c r="D351" s="836" t="s">
        <v>131</v>
      </c>
      <c r="E351" s="837"/>
      <c r="F351" s="837"/>
      <c r="G351" s="837"/>
      <c r="H351" s="837"/>
      <c r="I351" s="837"/>
      <c r="J351" s="838"/>
      <c r="K351" s="328"/>
    </row>
    <row r="352" spans="1:11" x14ac:dyDescent="0.2">
      <c r="A352" s="326" t="s">
        <v>132</v>
      </c>
      <c r="B352" s="329"/>
      <c r="C352" s="330">
        <v>1</v>
      </c>
      <c r="D352" s="853" t="s">
        <v>133</v>
      </c>
      <c r="E352" s="854"/>
      <c r="F352" s="854"/>
      <c r="G352" s="854"/>
      <c r="H352" s="854"/>
      <c r="I352" s="854"/>
      <c r="J352" s="855"/>
      <c r="K352" s="328"/>
    </row>
    <row r="353" spans="1:11" x14ac:dyDescent="0.2">
      <c r="A353" s="331"/>
      <c r="B353" s="329"/>
      <c r="C353" s="332"/>
      <c r="D353" s="879" t="s">
        <v>134</v>
      </c>
      <c r="E353" s="857"/>
      <c r="F353" s="857"/>
      <c r="G353" s="857"/>
      <c r="H353" s="857"/>
      <c r="I353" s="857"/>
      <c r="J353" s="858"/>
      <c r="K353" s="328"/>
    </row>
    <row r="354" spans="1:11" x14ac:dyDescent="0.2">
      <c r="A354" s="822" t="s">
        <v>137</v>
      </c>
      <c r="B354" s="839"/>
      <c r="C354" s="839"/>
      <c r="D354" s="839"/>
      <c r="E354" s="839"/>
      <c r="F354" s="841"/>
      <c r="G354" s="843" t="s">
        <v>42</v>
      </c>
      <c r="H354" s="844"/>
      <c r="I354" s="877" t="s">
        <v>126</v>
      </c>
      <c r="J354" s="875" t="s">
        <v>138</v>
      </c>
      <c r="K354" s="875" t="s">
        <v>139</v>
      </c>
    </row>
    <row r="355" spans="1:11" x14ac:dyDescent="0.2">
      <c r="A355" s="824"/>
      <c r="B355" s="840"/>
      <c r="C355" s="840"/>
      <c r="D355" s="840"/>
      <c r="E355" s="840"/>
      <c r="F355" s="842"/>
      <c r="G355" s="845"/>
      <c r="H355" s="846"/>
      <c r="I355" s="878"/>
      <c r="J355" s="876"/>
      <c r="K355" s="876"/>
    </row>
    <row r="356" spans="1:11" x14ac:dyDescent="0.2">
      <c r="A356" s="323" t="s">
        <v>366</v>
      </c>
      <c r="B356" s="301" t="s">
        <v>367</v>
      </c>
      <c r="C356" s="301"/>
      <c r="D356" s="301"/>
      <c r="E356" s="301"/>
      <c r="F356" s="293"/>
      <c r="G356" s="847">
        <v>1</v>
      </c>
      <c r="H356" s="848"/>
      <c r="I356" s="599" t="s">
        <v>158</v>
      </c>
      <c r="J356" s="360">
        <v>6005.98</v>
      </c>
      <c r="K356" s="361">
        <f>ROUND((G356*J356),4)</f>
        <v>6005.98</v>
      </c>
    </row>
    <row r="357" spans="1:11" x14ac:dyDescent="0.2">
      <c r="A357" s="323"/>
      <c r="B357" s="301"/>
      <c r="C357" s="301"/>
      <c r="D357" s="301"/>
      <c r="E357" s="301"/>
      <c r="F357" s="302"/>
      <c r="G357" s="832"/>
      <c r="H357" s="833"/>
      <c r="I357" s="606"/>
      <c r="J357" s="337"/>
      <c r="K357" s="306"/>
    </row>
    <row r="358" spans="1:11" x14ac:dyDescent="0.2">
      <c r="A358" s="323"/>
      <c r="B358" s="301"/>
      <c r="C358" s="301"/>
      <c r="D358" s="301"/>
      <c r="E358" s="301"/>
      <c r="F358" s="302"/>
      <c r="G358" s="832"/>
      <c r="H358" s="833"/>
      <c r="I358" s="606"/>
      <c r="J358" s="337"/>
      <c r="K358" s="306"/>
    </row>
    <row r="359" spans="1:11" x14ac:dyDescent="0.2">
      <c r="A359" s="323"/>
      <c r="B359" s="301"/>
      <c r="C359" s="301"/>
      <c r="D359" s="301"/>
      <c r="E359" s="301"/>
      <c r="F359" s="302"/>
      <c r="G359" s="834"/>
      <c r="H359" s="835"/>
      <c r="I359" s="606"/>
      <c r="J359" s="337"/>
      <c r="K359" s="306"/>
    </row>
    <row r="360" spans="1:11" x14ac:dyDescent="0.2">
      <c r="A360" s="836" t="s">
        <v>140</v>
      </c>
      <c r="B360" s="837"/>
      <c r="C360" s="837"/>
      <c r="D360" s="837"/>
      <c r="E360" s="837"/>
      <c r="F360" s="837"/>
      <c r="G360" s="837"/>
      <c r="H360" s="837"/>
      <c r="I360" s="837"/>
      <c r="J360" s="838"/>
      <c r="K360" s="328">
        <f>SUM(K356:K359)</f>
        <v>6005.98</v>
      </c>
    </row>
    <row r="361" spans="1:11" x14ac:dyDescent="0.2">
      <c r="A361" s="822" t="s">
        <v>141</v>
      </c>
      <c r="B361" s="839"/>
      <c r="C361" s="839"/>
      <c r="D361" s="839"/>
      <c r="E361" s="839"/>
      <c r="F361" s="841"/>
      <c r="G361" s="843" t="s">
        <v>42</v>
      </c>
      <c r="H361" s="844"/>
      <c r="I361" s="877" t="s">
        <v>126</v>
      </c>
      <c r="J361" s="875" t="s">
        <v>138</v>
      </c>
      <c r="K361" s="875" t="s">
        <v>139</v>
      </c>
    </row>
    <row r="362" spans="1:11" x14ac:dyDescent="0.2">
      <c r="A362" s="824"/>
      <c r="B362" s="840"/>
      <c r="C362" s="840"/>
      <c r="D362" s="840"/>
      <c r="E362" s="840"/>
      <c r="F362" s="842"/>
      <c r="G362" s="845"/>
      <c r="H362" s="846"/>
      <c r="I362" s="878"/>
      <c r="J362" s="876"/>
      <c r="K362" s="876"/>
    </row>
    <row r="363" spans="1:11" x14ac:dyDescent="0.2">
      <c r="A363" s="323"/>
      <c r="B363" s="301"/>
      <c r="C363" s="301"/>
      <c r="D363" s="301"/>
      <c r="E363" s="301"/>
      <c r="F363" s="302"/>
      <c r="G363" s="847"/>
      <c r="H363" s="848"/>
      <c r="I363" s="606"/>
      <c r="J363" s="337"/>
      <c r="K363" s="306"/>
    </row>
    <row r="364" spans="1:11" x14ac:dyDescent="0.2">
      <c r="A364" s="323"/>
      <c r="B364" s="301"/>
      <c r="C364" s="301"/>
      <c r="D364" s="301"/>
      <c r="E364" s="301"/>
      <c r="F364" s="302"/>
      <c r="G364" s="832"/>
      <c r="H364" s="833"/>
      <c r="I364" s="606"/>
      <c r="J364" s="337"/>
      <c r="K364" s="306"/>
    </row>
    <row r="365" spans="1:11" x14ac:dyDescent="0.2">
      <c r="A365" s="323"/>
      <c r="B365" s="301"/>
      <c r="C365" s="301"/>
      <c r="D365" s="301"/>
      <c r="E365" s="301"/>
      <c r="F365" s="302"/>
      <c r="G365" s="832"/>
      <c r="H365" s="833"/>
      <c r="I365" s="606"/>
      <c r="J365" s="337"/>
      <c r="K365" s="306"/>
    </row>
    <row r="366" spans="1:11" x14ac:dyDescent="0.2">
      <c r="A366" s="324"/>
      <c r="B366" s="309"/>
      <c r="C366" s="309"/>
      <c r="D366" s="309"/>
      <c r="E366" s="309"/>
      <c r="F366" s="310"/>
      <c r="G366" s="834"/>
      <c r="H366" s="835"/>
      <c r="I366" s="605"/>
      <c r="J366" s="339"/>
      <c r="K366" s="314"/>
    </row>
    <row r="367" spans="1:11" x14ac:dyDescent="0.2">
      <c r="A367" s="836" t="s">
        <v>142</v>
      </c>
      <c r="B367" s="837"/>
      <c r="C367" s="837"/>
      <c r="D367" s="837"/>
      <c r="E367" s="837"/>
      <c r="F367" s="837"/>
      <c r="G367" s="837"/>
      <c r="H367" s="837"/>
      <c r="I367" s="837"/>
      <c r="J367" s="838"/>
      <c r="K367" s="338"/>
    </row>
    <row r="368" spans="1:11" x14ac:dyDescent="0.2">
      <c r="A368" s="822" t="s">
        <v>143</v>
      </c>
      <c r="B368" s="839"/>
      <c r="C368" s="839"/>
      <c r="D368" s="839"/>
      <c r="E368" s="839"/>
      <c r="F368" s="841"/>
      <c r="G368" s="843" t="s">
        <v>42</v>
      </c>
      <c r="H368" s="844"/>
      <c r="I368" s="877" t="s">
        <v>126</v>
      </c>
      <c r="J368" s="875" t="s">
        <v>138</v>
      </c>
      <c r="K368" s="875" t="s">
        <v>139</v>
      </c>
    </row>
    <row r="369" spans="1:11" x14ac:dyDescent="0.2">
      <c r="A369" s="824"/>
      <c r="B369" s="840"/>
      <c r="C369" s="840"/>
      <c r="D369" s="840"/>
      <c r="E369" s="840"/>
      <c r="F369" s="842"/>
      <c r="G369" s="845"/>
      <c r="H369" s="846"/>
      <c r="I369" s="878"/>
      <c r="J369" s="876"/>
      <c r="K369" s="876"/>
    </row>
    <row r="370" spans="1:11" x14ac:dyDescent="0.2">
      <c r="A370" s="323"/>
      <c r="B370" s="301"/>
      <c r="C370" s="301"/>
      <c r="D370" s="301"/>
      <c r="E370" s="301"/>
      <c r="F370" s="302"/>
      <c r="G370" s="847"/>
      <c r="H370" s="848"/>
      <c r="I370" s="606"/>
      <c r="J370" s="337"/>
      <c r="K370" s="306"/>
    </row>
    <row r="371" spans="1:11" x14ac:dyDescent="0.2">
      <c r="A371" s="323"/>
      <c r="B371" s="301"/>
      <c r="C371" s="301"/>
      <c r="D371" s="301"/>
      <c r="E371" s="301"/>
      <c r="F371" s="302"/>
      <c r="G371" s="832"/>
      <c r="H371" s="833"/>
      <c r="I371" s="606"/>
      <c r="J371" s="337"/>
      <c r="K371" s="306"/>
    </row>
    <row r="372" spans="1:11" x14ac:dyDescent="0.2">
      <c r="A372" s="323"/>
      <c r="B372" s="301"/>
      <c r="C372" s="301"/>
      <c r="D372" s="301"/>
      <c r="E372" s="301"/>
      <c r="F372" s="302"/>
      <c r="G372" s="832"/>
      <c r="H372" s="833"/>
      <c r="I372" s="606"/>
      <c r="J372" s="337"/>
      <c r="K372" s="306"/>
    </row>
    <row r="373" spans="1:11" x14ac:dyDescent="0.2">
      <c r="A373" s="324"/>
      <c r="B373" s="309"/>
      <c r="C373" s="309"/>
      <c r="D373" s="309"/>
      <c r="E373" s="309"/>
      <c r="F373" s="310"/>
      <c r="G373" s="834"/>
      <c r="H373" s="835"/>
      <c r="I373" s="605"/>
      <c r="J373" s="339"/>
      <c r="K373" s="314"/>
    </row>
    <row r="374" spans="1:11" x14ac:dyDescent="0.2">
      <c r="A374" s="836" t="s">
        <v>144</v>
      </c>
      <c r="B374" s="837"/>
      <c r="C374" s="837"/>
      <c r="D374" s="837"/>
      <c r="E374" s="837"/>
      <c r="F374" s="837"/>
      <c r="G374" s="837"/>
      <c r="H374" s="837"/>
      <c r="I374" s="837"/>
      <c r="J374" s="838"/>
      <c r="K374" s="338"/>
    </row>
    <row r="375" spans="1:11" x14ac:dyDescent="0.2">
      <c r="A375" s="822" t="s">
        <v>145</v>
      </c>
      <c r="B375" s="823"/>
      <c r="C375" s="820" t="s">
        <v>146</v>
      </c>
      <c r="D375" s="340" t="s">
        <v>147</v>
      </c>
      <c r="E375" s="817" t="s">
        <v>148</v>
      </c>
      <c r="F375" s="818"/>
      <c r="G375" s="819"/>
      <c r="H375" s="814" t="s">
        <v>149</v>
      </c>
      <c r="I375" s="815"/>
      <c r="J375" s="816"/>
      <c r="K375" s="812" t="s">
        <v>150</v>
      </c>
    </row>
    <row r="376" spans="1:11" x14ac:dyDescent="0.2">
      <c r="A376" s="824"/>
      <c r="B376" s="825"/>
      <c r="C376" s="821"/>
      <c r="D376" s="341"/>
      <c r="E376" s="378" t="s">
        <v>151</v>
      </c>
      <c r="F376" s="342" t="s">
        <v>152</v>
      </c>
      <c r="G376" s="343" t="s">
        <v>153</v>
      </c>
      <c r="H376" s="378" t="s">
        <v>151</v>
      </c>
      <c r="I376" s="342" t="s">
        <v>152</v>
      </c>
      <c r="J376" s="342" t="s">
        <v>153</v>
      </c>
      <c r="K376" s="813"/>
    </row>
    <row r="377" spans="1:11" x14ac:dyDescent="0.2">
      <c r="A377" s="319"/>
      <c r="B377" s="293"/>
      <c r="C377" s="344"/>
      <c r="D377" s="345"/>
      <c r="E377" s="346"/>
      <c r="F377" s="347"/>
      <c r="G377" s="348"/>
      <c r="H377" s="379"/>
      <c r="I377" s="613"/>
      <c r="J377" s="349"/>
      <c r="K377" s="336"/>
    </row>
    <row r="378" spans="1:11" x14ac:dyDescent="0.2">
      <c r="A378" s="323"/>
      <c r="B378" s="301"/>
      <c r="C378" s="344"/>
      <c r="D378" s="350"/>
      <c r="E378" s="351"/>
      <c r="F378" s="352"/>
      <c r="G378" s="353"/>
      <c r="H378" s="379"/>
      <c r="I378" s="613"/>
      <c r="J378" s="349"/>
      <c r="K378" s="306"/>
    </row>
    <row r="379" spans="1:11" x14ac:dyDescent="0.2">
      <c r="A379" s="323"/>
      <c r="B379" s="301"/>
      <c r="C379" s="344"/>
      <c r="D379" s="350"/>
      <c r="E379" s="351"/>
      <c r="F379" s="352"/>
      <c r="G379" s="353"/>
      <c r="H379" s="379"/>
      <c r="I379" s="613"/>
      <c r="J379" s="349"/>
      <c r="K379" s="306"/>
    </row>
    <row r="380" spans="1:11" x14ac:dyDescent="0.2">
      <c r="A380" s="324"/>
      <c r="B380" s="309"/>
      <c r="C380" s="354"/>
      <c r="D380" s="355"/>
      <c r="E380" s="356"/>
      <c r="F380" s="357"/>
      <c r="G380" s="358"/>
      <c r="H380" s="379"/>
      <c r="I380" s="613"/>
      <c r="J380" s="349"/>
      <c r="K380" s="314"/>
    </row>
    <row r="381" spans="1:11" x14ac:dyDescent="0.2">
      <c r="A381" s="807" t="s">
        <v>154</v>
      </c>
      <c r="B381" s="808"/>
      <c r="C381" s="808"/>
      <c r="D381" s="808"/>
      <c r="E381" s="808"/>
      <c r="F381" s="808"/>
      <c r="G381" s="808"/>
      <c r="H381" s="808"/>
      <c r="I381" s="808"/>
      <c r="J381" s="809"/>
      <c r="K381" s="338"/>
    </row>
    <row r="382" spans="1:11" x14ac:dyDescent="0.2">
      <c r="A382" s="807" t="s">
        <v>155</v>
      </c>
      <c r="B382" s="808"/>
      <c r="C382" s="808"/>
      <c r="D382" s="808"/>
      <c r="E382" s="808"/>
      <c r="F382" s="808"/>
      <c r="G382" s="808"/>
      <c r="H382" s="808"/>
      <c r="I382" s="808"/>
      <c r="J382" s="809"/>
      <c r="K382" s="359">
        <f>ROUND((K360),2)</f>
        <v>6005.98</v>
      </c>
    </row>
    <row r="383" spans="1:11" x14ac:dyDescent="0.2">
      <c r="A383" s="807" t="s">
        <v>23</v>
      </c>
      <c r="B383" s="808"/>
      <c r="C383" s="808"/>
      <c r="D383" s="808"/>
      <c r="E383" s="808"/>
      <c r="F383" s="808"/>
      <c r="G383" s="808"/>
      <c r="H383" s="808"/>
      <c r="I383" s="808"/>
      <c r="J383" s="809"/>
      <c r="K383" s="359">
        <f>ROUND((K382*  10.37/100),4)</f>
        <v>622.82010000000002</v>
      </c>
    </row>
    <row r="384" spans="1:11" x14ac:dyDescent="0.2">
      <c r="A384" s="807" t="s">
        <v>156</v>
      </c>
      <c r="B384" s="808"/>
      <c r="C384" s="808"/>
      <c r="D384" s="808"/>
      <c r="E384" s="808"/>
      <c r="F384" s="808"/>
      <c r="G384" s="808"/>
      <c r="H384" s="808"/>
      <c r="I384" s="808"/>
      <c r="J384" s="809"/>
      <c r="K384" s="359">
        <f>K382+K383</f>
        <v>6628.8000999999995</v>
      </c>
    </row>
    <row r="387" spans="1:11" ht="56.25" customHeight="1" x14ac:dyDescent="0.2">
      <c r="A387" s="804" t="s">
        <v>110</v>
      </c>
      <c r="B387" s="805"/>
      <c r="C387" s="805"/>
      <c r="D387" s="805"/>
      <c r="E387" s="805"/>
      <c r="F387" s="805"/>
      <c r="G387" s="805"/>
      <c r="H387" s="805"/>
      <c r="I387" s="805"/>
      <c r="J387" s="805"/>
      <c r="K387" s="806"/>
    </row>
    <row r="388" spans="1:11" ht="18" customHeight="1" x14ac:dyDescent="0.2">
      <c r="A388" s="275" t="s">
        <v>111</v>
      </c>
      <c r="B388" s="276"/>
      <c r="C388" s="802"/>
      <c r="D388" s="802"/>
      <c r="E388" s="802"/>
      <c r="F388" s="802"/>
      <c r="G388" s="802"/>
      <c r="H388" s="802"/>
      <c r="I388" s="802"/>
      <c r="J388" s="802"/>
      <c r="K388" s="803"/>
    </row>
    <row r="389" spans="1:11" ht="18" customHeight="1" x14ac:dyDescent="0.2">
      <c r="A389" s="275" t="s">
        <v>315</v>
      </c>
      <c r="B389" s="276"/>
      <c r="C389" s="277" t="s">
        <v>66</v>
      </c>
      <c r="E389" s="810" t="s">
        <v>316</v>
      </c>
      <c r="F389" s="810"/>
      <c r="G389" s="810"/>
      <c r="H389" s="279"/>
      <c r="I389" s="604" t="s">
        <v>112</v>
      </c>
      <c r="J389" s="810" t="s">
        <v>113</v>
      </c>
      <c r="K389" s="811"/>
    </row>
    <row r="390" spans="1:11" x14ac:dyDescent="0.2">
      <c r="A390" s="280" t="s">
        <v>114</v>
      </c>
      <c r="B390" s="281" t="s">
        <v>368</v>
      </c>
      <c r="C390" s="282"/>
      <c r="D390" s="282"/>
      <c r="E390" s="282"/>
      <c r="F390" s="282"/>
      <c r="G390" s="282"/>
      <c r="H390" s="282"/>
      <c r="I390" s="282"/>
      <c r="J390" s="282"/>
      <c r="K390" s="283"/>
    </row>
    <row r="391" spans="1:11" x14ac:dyDescent="0.2">
      <c r="A391" s="284" t="s">
        <v>115</v>
      </c>
      <c r="B391" s="285"/>
      <c r="D391" s="286"/>
      <c r="E391" s="286"/>
      <c r="F391" s="286"/>
      <c r="G391" s="286"/>
      <c r="H391" s="286"/>
      <c r="I391" s="603"/>
      <c r="J391" s="287" t="s">
        <v>52</v>
      </c>
      <c r="K391" s="288" t="s">
        <v>318</v>
      </c>
    </row>
    <row r="392" spans="1:11" ht="23.25" customHeight="1" x14ac:dyDescent="0.2">
      <c r="A392" s="869" t="s">
        <v>369</v>
      </c>
      <c r="B392" s="870"/>
      <c r="C392" s="870"/>
      <c r="D392" s="870"/>
      <c r="E392" s="870"/>
      <c r="F392" s="870"/>
      <c r="G392" s="870"/>
      <c r="H392" s="870"/>
      <c r="I392" s="871"/>
      <c r="J392" s="289" t="s">
        <v>116</v>
      </c>
      <c r="K392" s="288" t="s">
        <v>345</v>
      </c>
    </row>
    <row r="393" spans="1:11" x14ac:dyDescent="0.2">
      <c r="A393" s="822" t="s">
        <v>117</v>
      </c>
      <c r="B393" s="839"/>
      <c r="C393" s="839"/>
      <c r="D393" s="839"/>
      <c r="E393" s="823"/>
      <c r="F393" s="290" t="s">
        <v>54</v>
      </c>
      <c r="G393" s="873" t="s">
        <v>118</v>
      </c>
      <c r="H393" s="874"/>
      <c r="I393" s="873" t="s">
        <v>119</v>
      </c>
      <c r="J393" s="874"/>
      <c r="K393" s="867" t="s">
        <v>120</v>
      </c>
    </row>
    <row r="394" spans="1:11" ht="25.5" x14ac:dyDescent="0.2">
      <c r="A394" s="824"/>
      <c r="B394" s="840"/>
      <c r="C394" s="840"/>
      <c r="D394" s="840"/>
      <c r="E394" s="825"/>
      <c r="F394" s="290"/>
      <c r="G394" s="290" t="s">
        <v>121</v>
      </c>
      <c r="H394" s="381" t="s">
        <v>122</v>
      </c>
      <c r="I394" s="290" t="s">
        <v>123</v>
      </c>
      <c r="J394" s="290" t="s">
        <v>122</v>
      </c>
      <c r="K394" s="868"/>
    </row>
    <row r="395" spans="1:11" s="299" customFormat="1" x14ac:dyDescent="0.25">
      <c r="A395" s="291"/>
      <c r="B395" s="292"/>
      <c r="C395" s="292"/>
      <c r="D395" s="292"/>
      <c r="E395" s="293"/>
      <c r="F395" s="294"/>
      <c r="G395" s="295"/>
      <c r="H395" s="296"/>
      <c r="I395" s="602"/>
      <c r="J395" s="297"/>
      <c r="K395" s="298"/>
    </row>
    <row r="396" spans="1:11" s="299" customFormat="1" x14ac:dyDescent="0.25">
      <c r="A396" s="300"/>
      <c r="B396" s="301"/>
      <c r="C396" s="301"/>
      <c r="D396" s="301"/>
      <c r="E396" s="302"/>
      <c r="F396" s="303"/>
      <c r="G396" s="304"/>
      <c r="H396" s="305"/>
      <c r="I396" s="600"/>
      <c r="J396" s="306"/>
      <c r="K396" s="307"/>
    </row>
    <row r="397" spans="1:11" s="299" customFormat="1" x14ac:dyDescent="0.25">
      <c r="A397" s="300"/>
      <c r="B397" s="301"/>
      <c r="C397" s="301"/>
      <c r="D397" s="301"/>
      <c r="E397" s="302"/>
      <c r="F397" s="303"/>
      <c r="G397" s="304"/>
      <c r="H397" s="305"/>
      <c r="I397" s="600"/>
      <c r="J397" s="306"/>
      <c r="K397" s="307"/>
    </row>
    <row r="398" spans="1:11" s="299" customFormat="1" x14ac:dyDescent="0.25">
      <c r="A398" s="300"/>
      <c r="B398" s="301"/>
      <c r="C398" s="301"/>
      <c r="D398" s="301"/>
      <c r="E398" s="302"/>
      <c r="F398" s="303"/>
      <c r="G398" s="304"/>
      <c r="H398" s="305"/>
      <c r="I398" s="600"/>
      <c r="J398" s="306"/>
      <c r="K398" s="307"/>
    </row>
    <row r="399" spans="1:11" s="299" customFormat="1" x14ac:dyDescent="0.25">
      <c r="A399" s="300"/>
      <c r="B399" s="301"/>
      <c r="C399" s="301"/>
      <c r="D399" s="301"/>
      <c r="E399" s="302"/>
      <c r="F399" s="303"/>
      <c r="G399" s="304"/>
      <c r="H399" s="305"/>
      <c r="I399" s="600"/>
      <c r="J399" s="306"/>
      <c r="K399" s="307"/>
    </row>
    <row r="400" spans="1:11" s="299" customFormat="1" x14ac:dyDescent="0.25">
      <c r="A400" s="300"/>
      <c r="B400" s="301"/>
      <c r="C400" s="301"/>
      <c r="D400" s="301"/>
      <c r="E400" s="302"/>
      <c r="F400" s="303"/>
      <c r="G400" s="304"/>
      <c r="H400" s="305"/>
      <c r="I400" s="600"/>
      <c r="J400" s="306"/>
      <c r="K400" s="307"/>
    </row>
    <row r="401" spans="1:11" s="299" customFormat="1" x14ac:dyDescent="0.25">
      <c r="A401" s="300"/>
      <c r="B401" s="301"/>
      <c r="C401" s="301"/>
      <c r="D401" s="301"/>
      <c r="E401" s="302"/>
      <c r="F401" s="303"/>
      <c r="G401" s="304"/>
      <c r="H401" s="305"/>
      <c r="I401" s="600"/>
      <c r="J401" s="306"/>
      <c r="K401" s="307"/>
    </row>
    <row r="402" spans="1:11" s="299" customFormat="1" x14ac:dyDescent="0.25">
      <c r="A402" s="308"/>
      <c r="B402" s="309"/>
      <c r="C402" s="309"/>
      <c r="D402" s="309"/>
      <c r="E402" s="310"/>
      <c r="F402" s="311"/>
      <c r="G402" s="312"/>
      <c r="H402" s="313"/>
      <c r="I402" s="611"/>
      <c r="J402" s="314"/>
      <c r="K402" s="315"/>
    </row>
    <row r="403" spans="1:11" x14ac:dyDescent="0.2">
      <c r="A403" s="836" t="s">
        <v>124</v>
      </c>
      <c r="B403" s="837"/>
      <c r="C403" s="837"/>
      <c r="D403" s="837"/>
      <c r="E403" s="837"/>
      <c r="F403" s="837"/>
      <c r="G403" s="837"/>
      <c r="H403" s="837"/>
      <c r="I403" s="837"/>
      <c r="J403" s="838"/>
      <c r="K403" s="316"/>
    </row>
    <row r="404" spans="1:11" ht="15.75" customHeight="1" x14ac:dyDescent="0.2">
      <c r="A404" s="822" t="s">
        <v>125</v>
      </c>
      <c r="B404" s="839"/>
      <c r="C404" s="839"/>
      <c r="D404" s="839"/>
      <c r="E404" s="839"/>
      <c r="F404" s="317"/>
      <c r="G404" s="317"/>
      <c r="H404" s="863" t="s">
        <v>54</v>
      </c>
      <c r="I404" s="880" t="s">
        <v>126</v>
      </c>
      <c r="J404" s="867" t="s">
        <v>127</v>
      </c>
      <c r="K404" s="867" t="s">
        <v>120</v>
      </c>
    </row>
    <row r="405" spans="1:11" ht="21.75" customHeight="1" x14ac:dyDescent="0.25">
      <c r="A405" s="824"/>
      <c r="B405" s="840"/>
      <c r="C405" s="840"/>
      <c r="D405" s="840"/>
      <c r="E405" s="840"/>
      <c r="F405" s="318"/>
      <c r="G405" s="269"/>
      <c r="H405" s="864"/>
      <c r="I405" s="881"/>
      <c r="J405" s="868"/>
      <c r="K405" s="868"/>
    </row>
    <row r="406" spans="1:11" x14ac:dyDescent="0.2">
      <c r="A406" s="319"/>
      <c r="B406" s="859"/>
      <c r="C406" s="859"/>
      <c r="D406" s="859"/>
      <c r="E406" s="859"/>
      <c r="F406" s="859"/>
      <c r="G406" s="860"/>
      <c r="H406" s="320"/>
      <c r="I406" s="609"/>
      <c r="J406" s="321"/>
      <c r="K406" s="322"/>
    </row>
    <row r="407" spans="1:11" x14ac:dyDescent="0.2">
      <c r="A407" s="323"/>
      <c r="B407" s="849"/>
      <c r="C407" s="849"/>
      <c r="D407" s="849"/>
      <c r="E407" s="849"/>
      <c r="F407" s="849"/>
      <c r="G407" s="850"/>
      <c r="H407" s="320"/>
      <c r="I407" s="609"/>
      <c r="J407" s="306"/>
      <c r="K407" s="306"/>
    </row>
    <row r="408" spans="1:11" x14ac:dyDescent="0.2">
      <c r="A408" s="323"/>
      <c r="B408" s="849"/>
      <c r="C408" s="849"/>
      <c r="D408" s="849"/>
      <c r="E408" s="849"/>
      <c r="F408" s="849"/>
      <c r="G408" s="850"/>
      <c r="H408" s="320"/>
      <c r="I408" s="609"/>
      <c r="J408" s="306"/>
      <c r="K408" s="306"/>
    </row>
    <row r="409" spans="1:11" x14ac:dyDescent="0.2">
      <c r="A409" s="323"/>
      <c r="B409" s="849"/>
      <c r="C409" s="849"/>
      <c r="D409" s="849"/>
      <c r="E409" s="849"/>
      <c r="F409" s="849"/>
      <c r="G409" s="850"/>
      <c r="H409" s="320"/>
      <c r="I409" s="609"/>
      <c r="J409" s="306"/>
      <c r="K409" s="306"/>
    </row>
    <row r="410" spans="1:11" x14ac:dyDescent="0.2">
      <c r="A410" s="323"/>
      <c r="B410" s="849"/>
      <c r="C410" s="849"/>
      <c r="D410" s="849"/>
      <c r="E410" s="849"/>
      <c r="F410" s="849"/>
      <c r="G410" s="850"/>
      <c r="H410" s="320"/>
      <c r="I410" s="609"/>
      <c r="J410" s="306"/>
      <c r="K410" s="306"/>
    </row>
    <row r="411" spans="1:11" x14ac:dyDescent="0.2">
      <c r="A411" s="323"/>
      <c r="B411" s="849"/>
      <c r="C411" s="849"/>
      <c r="D411" s="849"/>
      <c r="E411" s="849"/>
      <c r="F411" s="849"/>
      <c r="G411" s="850"/>
      <c r="H411" s="320"/>
      <c r="I411" s="609"/>
      <c r="J411" s="306"/>
      <c r="K411" s="306"/>
    </row>
    <row r="412" spans="1:11" x14ac:dyDescent="0.2">
      <c r="A412" s="323"/>
      <c r="B412" s="849"/>
      <c r="C412" s="849"/>
      <c r="D412" s="849"/>
      <c r="E412" s="849"/>
      <c r="F412" s="849"/>
      <c r="G412" s="850"/>
      <c r="H412" s="320"/>
      <c r="I412" s="609"/>
      <c r="J412" s="306"/>
      <c r="K412" s="306"/>
    </row>
    <row r="413" spans="1:11" x14ac:dyDescent="0.2">
      <c r="A413" s="324"/>
      <c r="B413" s="851"/>
      <c r="C413" s="851"/>
      <c r="D413" s="851"/>
      <c r="E413" s="851"/>
      <c r="F413" s="851"/>
      <c r="G413" s="852"/>
      <c r="H413" s="325"/>
      <c r="I413" s="608"/>
      <c r="J413" s="314"/>
      <c r="K413" s="314"/>
    </row>
    <row r="414" spans="1:11" ht="15" x14ac:dyDescent="0.25">
      <c r="A414" s="326"/>
      <c r="C414" s="270"/>
      <c r="D414" s="836" t="s">
        <v>131</v>
      </c>
      <c r="E414" s="837"/>
      <c r="F414" s="837"/>
      <c r="G414" s="837"/>
      <c r="H414" s="837"/>
      <c r="I414" s="837"/>
      <c r="J414" s="838"/>
      <c r="K414" s="328"/>
    </row>
    <row r="415" spans="1:11" x14ac:dyDescent="0.2">
      <c r="A415" s="326" t="s">
        <v>132</v>
      </c>
      <c r="B415" s="329"/>
      <c r="C415" s="330">
        <v>1</v>
      </c>
      <c r="D415" s="853" t="s">
        <v>133</v>
      </c>
      <c r="E415" s="854"/>
      <c r="F415" s="854"/>
      <c r="G415" s="854"/>
      <c r="H415" s="854"/>
      <c r="I415" s="854"/>
      <c r="J415" s="855"/>
      <c r="K415" s="328"/>
    </row>
    <row r="416" spans="1:11" x14ac:dyDescent="0.2">
      <c r="A416" s="331"/>
      <c r="B416" s="329"/>
      <c r="C416" s="332"/>
      <c r="D416" s="879" t="s">
        <v>134</v>
      </c>
      <c r="E416" s="857"/>
      <c r="F416" s="857"/>
      <c r="G416" s="857"/>
      <c r="H416" s="857"/>
      <c r="I416" s="857"/>
      <c r="J416" s="858"/>
      <c r="K416" s="328"/>
    </row>
    <row r="417" spans="1:11" x14ac:dyDescent="0.2">
      <c r="A417" s="822" t="s">
        <v>137</v>
      </c>
      <c r="B417" s="839"/>
      <c r="C417" s="839"/>
      <c r="D417" s="839"/>
      <c r="E417" s="839"/>
      <c r="F417" s="841"/>
      <c r="G417" s="843" t="s">
        <v>42</v>
      </c>
      <c r="H417" s="844"/>
      <c r="I417" s="877" t="s">
        <v>126</v>
      </c>
      <c r="J417" s="875" t="s">
        <v>138</v>
      </c>
      <c r="K417" s="875" t="s">
        <v>139</v>
      </c>
    </row>
    <row r="418" spans="1:11" x14ac:dyDescent="0.2">
      <c r="A418" s="824"/>
      <c r="B418" s="840"/>
      <c r="C418" s="840"/>
      <c r="D418" s="840"/>
      <c r="E418" s="840"/>
      <c r="F418" s="842"/>
      <c r="G418" s="845"/>
      <c r="H418" s="846"/>
      <c r="I418" s="878"/>
      <c r="J418" s="876"/>
      <c r="K418" s="876"/>
    </row>
    <row r="419" spans="1:11" x14ac:dyDescent="0.2">
      <c r="A419" s="323" t="s">
        <v>370</v>
      </c>
      <c r="B419" s="301" t="s">
        <v>371</v>
      </c>
      <c r="C419" s="301"/>
      <c r="D419" s="301"/>
      <c r="E419" s="301"/>
      <c r="F419" s="293"/>
      <c r="G419" s="847">
        <v>1</v>
      </c>
      <c r="H419" s="848"/>
      <c r="I419" s="599" t="s">
        <v>158</v>
      </c>
      <c r="J419" s="360">
        <v>7349.67</v>
      </c>
      <c r="K419" s="361">
        <f>ROUND((G419*J419),4)</f>
        <v>7349.67</v>
      </c>
    </row>
    <row r="420" spans="1:11" x14ac:dyDescent="0.2">
      <c r="A420" s="323"/>
      <c r="B420" s="301"/>
      <c r="C420" s="301"/>
      <c r="D420" s="301"/>
      <c r="E420" s="301"/>
      <c r="F420" s="302"/>
      <c r="G420" s="832"/>
      <c r="H420" s="833"/>
      <c r="I420" s="606"/>
      <c r="J420" s="337"/>
      <c r="K420" s="306"/>
    </row>
    <row r="421" spans="1:11" x14ac:dyDescent="0.2">
      <c r="A421" s="323"/>
      <c r="B421" s="301"/>
      <c r="C421" s="301"/>
      <c r="D421" s="301"/>
      <c r="E421" s="301"/>
      <c r="F421" s="302"/>
      <c r="G421" s="832"/>
      <c r="H421" s="833"/>
      <c r="I421" s="606"/>
      <c r="J421" s="337"/>
      <c r="K421" s="306"/>
    </row>
    <row r="422" spans="1:11" x14ac:dyDescent="0.2">
      <c r="A422" s="323"/>
      <c r="B422" s="301"/>
      <c r="C422" s="301"/>
      <c r="D422" s="301"/>
      <c r="E422" s="301"/>
      <c r="F422" s="302"/>
      <c r="G422" s="834"/>
      <c r="H422" s="835"/>
      <c r="I422" s="606"/>
      <c r="J422" s="337"/>
      <c r="K422" s="306"/>
    </row>
    <row r="423" spans="1:11" x14ac:dyDescent="0.2">
      <c r="A423" s="836" t="s">
        <v>140</v>
      </c>
      <c r="B423" s="837"/>
      <c r="C423" s="837"/>
      <c r="D423" s="837"/>
      <c r="E423" s="837"/>
      <c r="F423" s="837"/>
      <c r="G423" s="837"/>
      <c r="H423" s="837"/>
      <c r="I423" s="837"/>
      <c r="J423" s="838"/>
      <c r="K423" s="328">
        <f>SUM(K419:K422)</f>
        <v>7349.67</v>
      </c>
    </row>
    <row r="424" spans="1:11" x14ac:dyDescent="0.2">
      <c r="A424" s="822" t="s">
        <v>141</v>
      </c>
      <c r="B424" s="839"/>
      <c r="C424" s="839"/>
      <c r="D424" s="839"/>
      <c r="E424" s="839"/>
      <c r="F424" s="841"/>
      <c r="G424" s="843" t="s">
        <v>42</v>
      </c>
      <c r="H424" s="844"/>
      <c r="I424" s="877" t="s">
        <v>126</v>
      </c>
      <c r="J424" s="875" t="s">
        <v>138</v>
      </c>
      <c r="K424" s="875" t="s">
        <v>139</v>
      </c>
    </row>
    <row r="425" spans="1:11" x14ac:dyDescent="0.2">
      <c r="A425" s="824"/>
      <c r="B425" s="840"/>
      <c r="C425" s="840"/>
      <c r="D425" s="840"/>
      <c r="E425" s="840"/>
      <c r="F425" s="842"/>
      <c r="G425" s="845"/>
      <c r="H425" s="846"/>
      <c r="I425" s="878"/>
      <c r="J425" s="876"/>
      <c r="K425" s="876"/>
    </row>
    <row r="426" spans="1:11" x14ac:dyDescent="0.2">
      <c r="A426" s="323"/>
      <c r="B426" s="301"/>
      <c r="C426" s="301"/>
      <c r="D426" s="301"/>
      <c r="E426" s="301"/>
      <c r="F426" s="302"/>
      <c r="G426" s="847"/>
      <c r="H426" s="848"/>
      <c r="I426" s="606"/>
      <c r="J426" s="337"/>
      <c r="K426" s="306"/>
    </row>
    <row r="427" spans="1:11" x14ac:dyDescent="0.2">
      <c r="A427" s="323"/>
      <c r="B427" s="301"/>
      <c r="C427" s="301"/>
      <c r="D427" s="301"/>
      <c r="E427" s="301"/>
      <c r="F427" s="302"/>
      <c r="G427" s="832"/>
      <c r="H427" s="833"/>
      <c r="I427" s="606"/>
      <c r="J427" s="337"/>
      <c r="K427" s="306"/>
    </row>
    <row r="428" spans="1:11" x14ac:dyDescent="0.2">
      <c r="A428" s="323"/>
      <c r="B428" s="301"/>
      <c r="C428" s="301"/>
      <c r="D428" s="301"/>
      <c r="E428" s="301"/>
      <c r="F428" s="302"/>
      <c r="G428" s="832"/>
      <c r="H428" s="833"/>
      <c r="I428" s="606"/>
      <c r="J428" s="337"/>
      <c r="K428" s="306"/>
    </row>
    <row r="429" spans="1:11" x14ac:dyDescent="0.2">
      <c r="A429" s="324"/>
      <c r="B429" s="309"/>
      <c r="C429" s="309"/>
      <c r="D429" s="309"/>
      <c r="E429" s="309"/>
      <c r="F429" s="310"/>
      <c r="G429" s="834"/>
      <c r="H429" s="835"/>
      <c r="I429" s="605"/>
      <c r="J429" s="339"/>
      <c r="K429" s="314"/>
    </row>
    <row r="430" spans="1:11" x14ac:dyDescent="0.2">
      <c r="A430" s="836" t="s">
        <v>142</v>
      </c>
      <c r="B430" s="837"/>
      <c r="C430" s="837"/>
      <c r="D430" s="837"/>
      <c r="E430" s="837"/>
      <c r="F430" s="837"/>
      <c r="G430" s="837"/>
      <c r="H430" s="837"/>
      <c r="I430" s="837"/>
      <c r="J430" s="838"/>
      <c r="K430" s="338"/>
    </row>
    <row r="431" spans="1:11" x14ac:dyDescent="0.2">
      <c r="A431" s="822" t="s">
        <v>143</v>
      </c>
      <c r="B431" s="839"/>
      <c r="C431" s="839"/>
      <c r="D431" s="839"/>
      <c r="E431" s="839"/>
      <c r="F431" s="841"/>
      <c r="G431" s="843" t="s">
        <v>42</v>
      </c>
      <c r="H431" s="844"/>
      <c r="I431" s="877" t="s">
        <v>126</v>
      </c>
      <c r="J431" s="875" t="s">
        <v>138</v>
      </c>
      <c r="K431" s="875" t="s">
        <v>139</v>
      </c>
    </row>
    <row r="432" spans="1:11" x14ac:dyDescent="0.2">
      <c r="A432" s="824"/>
      <c r="B432" s="840"/>
      <c r="C432" s="840"/>
      <c r="D432" s="840"/>
      <c r="E432" s="840"/>
      <c r="F432" s="842"/>
      <c r="G432" s="845"/>
      <c r="H432" s="846"/>
      <c r="I432" s="878"/>
      <c r="J432" s="876"/>
      <c r="K432" s="876"/>
    </row>
    <row r="433" spans="1:11" x14ac:dyDescent="0.2">
      <c r="A433" s="323"/>
      <c r="B433" s="301"/>
      <c r="C433" s="301"/>
      <c r="D433" s="301"/>
      <c r="E433" s="301"/>
      <c r="F433" s="302"/>
      <c r="G433" s="847"/>
      <c r="H433" s="848"/>
      <c r="I433" s="606"/>
      <c r="J433" s="337"/>
      <c r="K433" s="306"/>
    </row>
    <row r="434" spans="1:11" x14ac:dyDescent="0.2">
      <c r="A434" s="323"/>
      <c r="B434" s="301"/>
      <c r="C434" s="301"/>
      <c r="D434" s="301"/>
      <c r="E434" s="301"/>
      <c r="F434" s="302"/>
      <c r="G434" s="832"/>
      <c r="H434" s="833"/>
      <c r="I434" s="606"/>
      <c r="J434" s="337"/>
      <c r="K434" s="306"/>
    </row>
    <row r="435" spans="1:11" x14ac:dyDescent="0.2">
      <c r="A435" s="323"/>
      <c r="B435" s="301"/>
      <c r="C435" s="301"/>
      <c r="D435" s="301"/>
      <c r="E435" s="301"/>
      <c r="F435" s="302"/>
      <c r="G435" s="832"/>
      <c r="H435" s="833"/>
      <c r="I435" s="606"/>
      <c r="J435" s="337"/>
      <c r="K435" s="306"/>
    </row>
    <row r="436" spans="1:11" x14ac:dyDescent="0.2">
      <c r="A436" s="324"/>
      <c r="B436" s="309"/>
      <c r="C436" s="309"/>
      <c r="D436" s="309"/>
      <c r="E436" s="309"/>
      <c r="F436" s="310"/>
      <c r="G436" s="834"/>
      <c r="H436" s="835"/>
      <c r="I436" s="605"/>
      <c r="J436" s="339"/>
      <c r="K436" s="314"/>
    </row>
    <row r="437" spans="1:11" x14ac:dyDescent="0.2">
      <c r="A437" s="836" t="s">
        <v>144</v>
      </c>
      <c r="B437" s="837"/>
      <c r="C437" s="837"/>
      <c r="D437" s="837"/>
      <c r="E437" s="837"/>
      <c r="F437" s="837"/>
      <c r="G437" s="837"/>
      <c r="H437" s="837"/>
      <c r="I437" s="837"/>
      <c r="J437" s="838"/>
      <c r="K437" s="338"/>
    </row>
    <row r="438" spans="1:11" x14ac:dyDescent="0.2">
      <c r="A438" s="822" t="s">
        <v>145</v>
      </c>
      <c r="B438" s="823"/>
      <c r="C438" s="820" t="s">
        <v>146</v>
      </c>
      <c r="D438" s="340" t="s">
        <v>147</v>
      </c>
      <c r="E438" s="817" t="s">
        <v>148</v>
      </c>
      <c r="F438" s="818"/>
      <c r="G438" s="819"/>
      <c r="H438" s="814" t="s">
        <v>149</v>
      </c>
      <c r="I438" s="815"/>
      <c r="J438" s="816"/>
      <c r="K438" s="812" t="s">
        <v>150</v>
      </c>
    </row>
    <row r="439" spans="1:11" x14ac:dyDescent="0.2">
      <c r="A439" s="824"/>
      <c r="B439" s="825"/>
      <c r="C439" s="821"/>
      <c r="D439" s="341"/>
      <c r="E439" s="378" t="s">
        <v>151</v>
      </c>
      <c r="F439" s="342" t="s">
        <v>152</v>
      </c>
      <c r="G439" s="343" t="s">
        <v>153</v>
      </c>
      <c r="H439" s="378" t="s">
        <v>151</v>
      </c>
      <c r="I439" s="342" t="s">
        <v>152</v>
      </c>
      <c r="J439" s="342" t="s">
        <v>153</v>
      </c>
      <c r="K439" s="813"/>
    </row>
    <row r="440" spans="1:11" x14ac:dyDescent="0.2">
      <c r="A440" s="319"/>
      <c r="B440" s="293"/>
      <c r="C440" s="344"/>
      <c r="D440" s="345"/>
      <c r="E440" s="346"/>
      <c r="F440" s="347"/>
      <c r="G440" s="348"/>
      <c r="H440" s="379"/>
      <c r="I440" s="613"/>
      <c r="J440" s="349"/>
      <c r="K440" s="336"/>
    </row>
    <row r="441" spans="1:11" x14ac:dyDescent="0.2">
      <c r="A441" s="323"/>
      <c r="B441" s="301"/>
      <c r="C441" s="344"/>
      <c r="D441" s="350"/>
      <c r="E441" s="351"/>
      <c r="F441" s="352"/>
      <c r="G441" s="353"/>
      <c r="H441" s="379"/>
      <c r="I441" s="613"/>
      <c r="J441" s="349"/>
      <c r="K441" s="306"/>
    </row>
    <row r="442" spans="1:11" x14ac:dyDescent="0.2">
      <c r="A442" s="323"/>
      <c r="B442" s="301"/>
      <c r="C442" s="344"/>
      <c r="D442" s="350"/>
      <c r="E442" s="351"/>
      <c r="F442" s="352"/>
      <c r="G442" s="353"/>
      <c r="H442" s="379"/>
      <c r="I442" s="613"/>
      <c r="J442" s="349"/>
      <c r="K442" s="306"/>
    </row>
    <row r="443" spans="1:11" x14ac:dyDescent="0.2">
      <c r="A443" s="324"/>
      <c r="B443" s="309"/>
      <c r="C443" s="354"/>
      <c r="D443" s="355"/>
      <c r="E443" s="356"/>
      <c r="F443" s="357"/>
      <c r="G443" s="358"/>
      <c r="H443" s="379"/>
      <c r="I443" s="613"/>
      <c r="J443" s="349"/>
      <c r="K443" s="314"/>
    </row>
    <row r="444" spans="1:11" x14ac:dyDescent="0.2">
      <c r="A444" s="807" t="s">
        <v>154</v>
      </c>
      <c r="B444" s="808"/>
      <c r="C444" s="808"/>
      <c r="D444" s="808"/>
      <c r="E444" s="808"/>
      <c r="F444" s="808"/>
      <c r="G444" s="808"/>
      <c r="H444" s="808"/>
      <c r="I444" s="808"/>
      <c r="J444" s="809"/>
      <c r="K444" s="338"/>
    </row>
    <row r="445" spans="1:11" x14ac:dyDescent="0.2">
      <c r="A445" s="807" t="s">
        <v>155</v>
      </c>
      <c r="B445" s="808"/>
      <c r="C445" s="808"/>
      <c r="D445" s="808"/>
      <c r="E445" s="808"/>
      <c r="F445" s="808"/>
      <c r="G445" s="808"/>
      <c r="H445" s="808"/>
      <c r="I445" s="808"/>
      <c r="J445" s="809"/>
      <c r="K445" s="359">
        <f>ROUND((K423),2)</f>
        <v>7349.67</v>
      </c>
    </row>
    <row r="446" spans="1:11" x14ac:dyDescent="0.2">
      <c r="A446" s="807" t="s">
        <v>23</v>
      </c>
      <c r="B446" s="808"/>
      <c r="C446" s="808"/>
      <c r="D446" s="808"/>
      <c r="E446" s="808"/>
      <c r="F446" s="808"/>
      <c r="G446" s="808"/>
      <c r="H446" s="808"/>
      <c r="I446" s="808"/>
      <c r="J446" s="809"/>
      <c r="K446" s="359">
        <f>ROUND((K445*  10.37/100),4)</f>
        <v>762.16079999999999</v>
      </c>
    </row>
    <row r="447" spans="1:11" x14ac:dyDescent="0.2">
      <c r="A447" s="807" t="s">
        <v>156</v>
      </c>
      <c r="B447" s="808"/>
      <c r="C447" s="808"/>
      <c r="D447" s="808"/>
      <c r="E447" s="808"/>
      <c r="F447" s="808"/>
      <c r="G447" s="808"/>
      <c r="H447" s="808"/>
      <c r="I447" s="808"/>
      <c r="J447" s="809"/>
      <c r="K447" s="359">
        <f>K445+K446</f>
        <v>8111.8307999999997</v>
      </c>
    </row>
    <row r="450" spans="1:11" ht="56.25" customHeight="1" x14ac:dyDescent="0.2">
      <c r="A450" s="804" t="s">
        <v>110</v>
      </c>
      <c r="B450" s="805"/>
      <c r="C450" s="805"/>
      <c r="D450" s="805"/>
      <c r="E450" s="805"/>
      <c r="F450" s="805"/>
      <c r="G450" s="805"/>
      <c r="H450" s="805"/>
      <c r="I450" s="805"/>
      <c r="J450" s="805"/>
      <c r="K450" s="806"/>
    </row>
    <row r="451" spans="1:11" ht="18" customHeight="1" x14ac:dyDescent="0.2">
      <c r="A451" s="275" t="s">
        <v>111</v>
      </c>
      <c r="B451" s="276"/>
      <c r="C451" s="802"/>
      <c r="D451" s="802"/>
      <c r="E451" s="802"/>
      <c r="F451" s="802"/>
      <c r="G451" s="802"/>
      <c r="H451" s="802"/>
      <c r="I451" s="802"/>
      <c r="J451" s="802"/>
      <c r="K451" s="803"/>
    </row>
    <row r="452" spans="1:11" ht="18" customHeight="1" x14ac:dyDescent="0.2">
      <c r="A452" s="275" t="s">
        <v>315</v>
      </c>
      <c r="B452" s="276"/>
      <c r="C452" s="277" t="s">
        <v>66</v>
      </c>
      <c r="E452" s="810" t="s">
        <v>316</v>
      </c>
      <c r="F452" s="810"/>
      <c r="G452" s="810"/>
      <c r="H452" s="279"/>
      <c r="I452" s="604" t="s">
        <v>112</v>
      </c>
      <c r="J452" s="810" t="s">
        <v>113</v>
      </c>
      <c r="K452" s="811"/>
    </row>
    <row r="453" spans="1:11" x14ac:dyDescent="0.2">
      <c r="A453" s="280" t="s">
        <v>114</v>
      </c>
      <c r="B453" s="281" t="s">
        <v>372</v>
      </c>
      <c r="C453" s="282"/>
      <c r="D453" s="282"/>
      <c r="E453" s="282"/>
      <c r="F453" s="282"/>
      <c r="G453" s="282"/>
      <c r="H453" s="282"/>
      <c r="I453" s="282"/>
      <c r="J453" s="282"/>
      <c r="K453" s="283"/>
    </row>
    <row r="454" spans="1:11" x14ac:dyDescent="0.2">
      <c r="A454" s="284" t="s">
        <v>115</v>
      </c>
      <c r="B454" s="285"/>
      <c r="D454" s="286"/>
      <c r="E454" s="286"/>
      <c r="F454" s="286"/>
      <c r="G454" s="286"/>
      <c r="H454" s="286"/>
      <c r="I454" s="603"/>
      <c r="J454" s="287" t="s">
        <v>52</v>
      </c>
      <c r="K454" s="288" t="s">
        <v>318</v>
      </c>
    </row>
    <row r="455" spans="1:11" ht="23.25" customHeight="1" x14ac:dyDescent="0.2">
      <c r="A455" s="869" t="s">
        <v>373</v>
      </c>
      <c r="B455" s="870"/>
      <c r="C455" s="870"/>
      <c r="D455" s="870"/>
      <c r="E455" s="870"/>
      <c r="F455" s="870"/>
      <c r="G455" s="870"/>
      <c r="H455" s="870"/>
      <c r="I455" s="871"/>
      <c r="J455" s="289" t="s">
        <v>116</v>
      </c>
      <c r="K455" s="288" t="s">
        <v>345</v>
      </c>
    </row>
    <row r="456" spans="1:11" x14ac:dyDescent="0.2">
      <c r="A456" s="826" t="s">
        <v>117</v>
      </c>
      <c r="B456" s="872"/>
      <c r="C456" s="839"/>
      <c r="D456" s="839"/>
      <c r="E456" s="823"/>
      <c r="F456" s="290" t="s">
        <v>54</v>
      </c>
      <c r="G456" s="873" t="s">
        <v>118</v>
      </c>
      <c r="H456" s="874"/>
      <c r="I456" s="813" t="s">
        <v>119</v>
      </c>
      <c r="J456" s="813"/>
      <c r="K456" s="867" t="s">
        <v>120</v>
      </c>
    </row>
    <row r="457" spans="1:11" ht="25.5" x14ac:dyDescent="0.2">
      <c r="A457" s="826"/>
      <c r="B457" s="872"/>
      <c r="C457" s="872"/>
      <c r="D457" s="872"/>
      <c r="E457" s="827"/>
      <c r="F457" s="290"/>
      <c r="G457" s="290" t="s">
        <v>121</v>
      </c>
      <c r="H457" s="381" t="s">
        <v>122</v>
      </c>
      <c r="I457" s="290" t="s">
        <v>123</v>
      </c>
      <c r="J457" s="290" t="s">
        <v>122</v>
      </c>
      <c r="K457" s="868"/>
    </row>
    <row r="458" spans="1:11" s="299" customFormat="1" x14ac:dyDescent="0.25">
      <c r="A458" s="291"/>
      <c r="B458" s="292"/>
      <c r="C458" s="292"/>
      <c r="D458" s="292"/>
      <c r="E458" s="293"/>
      <c r="F458" s="294"/>
      <c r="G458" s="295"/>
      <c r="H458" s="296"/>
      <c r="I458" s="602"/>
      <c r="J458" s="297"/>
      <c r="K458" s="298"/>
    </row>
    <row r="459" spans="1:11" s="299" customFormat="1" x14ac:dyDescent="0.25">
      <c r="A459" s="300"/>
      <c r="B459" s="301"/>
      <c r="C459" s="301"/>
      <c r="D459" s="301"/>
      <c r="E459" s="302"/>
      <c r="F459" s="303"/>
      <c r="G459" s="304"/>
      <c r="H459" s="305"/>
      <c r="I459" s="600"/>
      <c r="J459" s="306"/>
      <c r="K459" s="307"/>
    </row>
    <row r="460" spans="1:11" s="299" customFormat="1" x14ac:dyDescent="0.25">
      <c r="A460" s="300"/>
      <c r="B460" s="301"/>
      <c r="C460" s="301"/>
      <c r="D460" s="301"/>
      <c r="E460" s="302"/>
      <c r="F460" s="303"/>
      <c r="G460" s="304"/>
      <c r="H460" s="305"/>
      <c r="I460" s="600"/>
      <c r="J460" s="306"/>
      <c r="K460" s="307"/>
    </row>
    <row r="461" spans="1:11" s="299" customFormat="1" x14ac:dyDescent="0.25">
      <c r="A461" s="300"/>
      <c r="B461" s="301"/>
      <c r="C461" s="301"/>
      <c r="D461" s="301"/>
      <c r="E461" s="302"/>
      <c r="F461" s="303"/>
      <c r="G461" s="304"/>
      <c r="H461" s="305"/>
      <c r="I461" s="600"/>
      <c r="J461" s="306"/>
      <c r="K461" s="307"/>
    </row>
    <row r="462" spans="1:11" s="299" customFormat="1" x14ac:dyDescent="0.25">
      <c r="A462" s="300"/>
      <c r="B462" s="301"/>
      <c r="C462" s="301"/>
      <c r="D462" s="301"/>
      <c r="E462" s="302"/>
      <c r="F462" s="303"/>
      <c r="G462" s="304"/>
      <c r="H462" s="305"/>
      <c r="I462" s="600"/>
      <c r="J462" s="306"/>
      <c r="K462" s="307"/>
    </row>
    <row r="463" spans="1:11" s="299" customFormat="1" x14ac:dyDescent="0.25">
      <c r="A463" s="300"/>
      <c r="B463" s="301"/>
      <c r="C463" s="301"/>
      <c r="D463" s="301"/>
      <c r="E463" s="302"/>
      <c r="F463" s="303"/>
      <c r="G463" s="304"/>
      <c r="H463" s="305"/>
      <c r="I463" s="600"/>
      <c r="J463" s="306"/>
      <c r="K463" s="307"/>
    </row>
    <row r="464" spans="1:11" s="299" customFormat="1" x14ac:dyDescent="0.25">
      <c r="A464" s="300"/>
      <c r="B464" s="301"/>
      <c r="C464" s="301"/>
      <c r="D464" s="301"/>
      <c r="E464" s="302"/>
      <c r="F464" s="303"/>
      <c r="G464" s="304"/>
      <c r="H464" s="305"/>
      <c r="I464" s="600"/>
      <c r="J464" s="306"/>
      <c r="K464" s="307"/>
    </row>
    <row r="465" spans="1:11" s="299" customFormat="1" x14ac:dyDescent="0.25">
      <c r="A465" s="308"/>
      <c r="B465" s="309"/>
      <c r="C465" s="309"/>
      <c r="D465" s="309"/>
      <c r="E465" s="310"/>
      <c r="F465" s="311"/>
      <c r="G465" s="312"/>
      <c r="H465" s="313"/>
      <c r="I465" s="611"/>
      <c r="J465" s="314"/>
      <c r="K465" s="315"/>
    </row>
    <row r="466" spans="1:11" x14ac:dyDescent="0.2">
      <c r="A466" s="861" t="s">
        <v>124</v>
      </c>
      <c r="B466" s="862"/>
      <c r="C466" s="862"/>
      <c r="D466" s="862"/>
      <c r="E466" s="862"/>
      <c r="F466" s="837"/>
      <c r="G466" s="837"/>
      <c r="H466" s="837"/>
      <c r="I466" s="837"/>
      <c r="J466" s="838"/>
      <c r="K466" s="316"/>
    </row>
    <row r="467" spans="1:11" ht="15.75" customHeight="1" x14ac:dyDescent="0.2">
      <c r="A467" s="822" t="s">
        <v>125</v>
      </c>
      <c r="B467" s="839"/>
      <c r="C467" s="839"/>
      <c r="D467" s="839"/>
      <c r="E467" s="839"/>
      <c r="F467" s="317"/>
      <c r="G467" s="317"/>
      <c r="H467" s="863" t="s">
        <v>54</v>
      </c>
      <c r="I467" s="865" t="s">
        <v>126</v>
      </c>
      <c r="J467" s="867" t="s">
        <v>127</v>
      </c>
      <c r="K467" s="867" t="s">
        <v>120</v>
      </c>
    </row>
    <row r="468" spans="1:11" ht="21.75" customHeight="1" x14ac:dyDescent="0.25">
      <c r="A468" s="824"/>
      <c r="B468" s="840"/>
      <c r="C468" s="840"/>
      <c r="D468" s="840"/>
      <c r="E468" s="840"/>
      <c r="F468" s="318"/>
      <c r="G468" s="269"/>
      <c r="H468" s="864"/>
      <c r="I468" s="866"/>
      <c r="J468" s="868"/>
      <c r="K468" s="868"/>
    </row>
    <row r="469" spans="1:11" x14ac:dyDescent="0.2">
      <c r="A469" s="319"/>
      <c r="B469" s="859"/>
      <c r="C469" s="859"/>
      <c r="D469" s="859"/>
      <c r="E469" s="859"/>
      <c r="F469" s="859"/>
      <c r="G469" s="860"/>
      <c r="H469" s="320"/>
      <c r="I469" s="609"/>
      <c r="J469" s="321"/>
      <c r="K469" s="322"/>
    </row>
    <row r="470" spans="1:11" x14ac:dyDescent="0.2">
      <c r="A470" s="323"/>
      <c r="B470" s="849"/>
      <c r="C470" s="849"/>
      <c r="D470" s="849"/>
      <c r="E470" s="849"/>
      <c r="F470" s="849"/>
      <c r="G470" s="850"/>
      <c r="H470" s="320"/>
      <c r="I470" s="609"/>
      <c r="J470" s="306"/>
      <c r="K470" s="306"/>
    </row>
    <row r="471" spans="1:11" x14ac:dyDescent="0.2">
      <c r="A471" s="323"/>
      <c r="B471" s="849"/>
      <c r="C471" s="849"/>
      <c r="D471" s="849"/>
      <c r="E471" s="849"/>
      <c r="F471" s="849"/>
      <c r="G471" s="850"/>
      <c r="H471" s="320"/>
      <c r="I471" s="609"/>
      <c r="J471" s="306"/>
      <c r="K471" s="306"/>
    </row>
    <row r="472" spans="1:11" x14ac:dyDescent="0.2">
      <c r="A472" s="323"/>
      <c r="B472" s="849"/>
      <c r="C472" s="849"/>
      <c r="D472" s="849"/>
      <c r="E472" s="849"/>
      <c r="F472" s="849"/>
      <c r="G472" s="850"/>
      <c r="H472" s="320"/>
      <c r="I472" s="609"/>
      <c r="J472" s="306"/>
      <c r="K472" s="306"/>
    </row>
    <row r="473" spans="1:11" x14ac:dyDescent="0.2">
      <c r="A473" s="323"/>
      <c r="B473" s="849"/>
      <c r="C473" s="849"/>
      <c r="D473" s="849"/>
      <c r="E473" s="849"/>
      <c r="F473" s="849"/>
      <c r="G473" s="850"/>
      <c r="H473" s="320"/>
      <c r="I473" s="609"/>
      <c r="J473" s="306"/>
      <c r="K473" s="306"/>
    </row>
    <row r="474" spans="1:11" x14ac:dyDescent="0.2">
      <c r="A474" s="323"/>
      <c r="B474" s="849"/>
      <c r="C474" s="849"/>
      <c r="D474" s="849"/>
      <c r="E474" s="849"/>
      <c r="F474" s="849"/>
      <c r="G474" s="850"/>
      <c r="H474" s="320"/>
      <c r="I474" s="609"/>
      <c r="J474" s="306"/>
      <c r="K474" s="306"/>
    </row>
    <row r="475" spans="1:11" x14ac:dyDescent="0.2">
      <c r="A475" s="323"/>
      <c r="B475" s="849"/>
      <c r="C475" s="849"/>
      <c r="D475" s="849"/>
      <c r="E475" s="849"/>
      <c r="F475" s="849"/>
      <c r="G475" s="850"/>
      <c r="H475" s="320"/>
      <c r="I475" s="609"/>
      <c r="J475" s="306"/>
      <c r="K475" s="306"/>
    </row>
    <row r="476" spans="1:11" x14ac:dyDescent="0.2">
      <c r="A476" s="324"/>
      <c r="B476" s="851"/>
      <c r="C476" s="851"/>
      <c r="D476" s="851"/>
      <c r="E476" s="851"/>
      <c r="F476" s="851"/>
      <c r="G476" s="852"/>
      <c r="H476" s="325"/>
      <c r="I476" s="608"/>
      <c r="J476" s="314"/>
      <c r="K476" s="314"/>
    </row>
    <row r="477" spans="1:11" ht="15" x14ac:dyDescent="0.25">
      <c r="A477" s="326"/>
      <c r="C477" s="270"/>
      <c r="D477" s="836" t="s">
        <v>131</v>
      </c>
      <c r="E477" s="837"/>
      <c r="F477" s="837"/>
      <c r="G477" s="837"/>
      <c r="H477" s="837"/>
      <c r="I477" s="837"/>
      <c r="J477" s="838"/>
      <c r="K477" s="328"/>
    </row>
    <row r="478" spans="1:11" x14ac:dyDescent="0.2">
      <c r="A478" s="326" t="s">
        <v>132</v>
      </c>
      <c r="B478" s="329"/>
      <c r="C478" s="330">
        <v>1</v>
      </c>
      <c r="D478" s="853" t="s">
        <v>133</v>
      </c>
      <c r="E478" s="854"/>
      <c r="F478" s="854"/>
      <c r="G478" s="854"/>
      <c r="H478" s="854"/>
      <c r="I478" s="854"/>
      <c r="J478" s="855"/>
      <c r="K478" s="328"/>
    </row>
    <row r="479" spans="1:11" x14ac:dyDescent="0.2">
      <c r="A479" s="331"/>
      <c r="B479" s="329"/>
      <c r="C479" s="332"/>
      <c r="D479" s="856" t="s">
        <v>134</v>
      </c>
      <c r="E479" s="856"/>
      <c r="F479" s="857"/>
      <c r="G479" s="857"/>
      <c r="H479" s="857"/>
      <c r="I479" s="857"/>
      <c r="J479" s="858"/>
      <c r="K479" s="328"/>
    </row>
    <row r="480" spans="1:11" x14ac:dyDescent="0.2">
      <c r="A480" s="822" t="s">
        <v>137</v>
      </c>
      <c r="B480" s="839"/>
      <c r="C480" s="839"/>
      <c r="D480" s="839"/>
      <c r="E480" s="839"/>
      <c r="F480" s="841"/>
      <c r="G480" s="843" t="s">
        <v>42</v>
      </c>
      <c r="H480" s="844"/>
      <c r="I480" s="831" t="s">
        <v>126</v>
      </c>
      <c r="J480" s="830" t="s">
        <v>138</v>
      </c>
      <c r="K480" s="830" t="s">
        <v>139</v>
      </c>
    </row>
    <row r="481" spans="1:11" x14ac:dyDescent="0.2">
      <c r="A481" s="824"/>
      <c r="B481" s="840"/>
      <c r="C481" s="840"/>
      <c r="D481" s="840"/>
      <c r="E481" s="840"/>
      <c r="F481" s="842"/>
      <c r="G481" s="845"/>
      <c r="H481" s="846"/>
      <c r="I481" s="831"/>
      <c r="J481" s="830"/>
      <c r="K481" s="831"/>
    </row>
    <row r="482" spans="1:11" x14ac:dyDescent="0.2">
      <c r="A482" s="323" t="s">
        <v>374</v>
      </c>
      <c r="B482" s="301" t="s">
        <v>373</v>
      </c>
      <c r="C482" s="301"/>
      <c r="D482" s="301"/>
      <c r="E482" s="301"/>
      <c r="F482" s="293"/>
      <c r="G482" s="847">
        <v>1</v>
      </c>
      <c r="H482" s="848"/>
      <c r="I482" s="599" t="s">
        <v>158</v>
      </c>
      <c r="J482" s="360">
        <v>113.74</v>
      </c>
      <c r="K482" s="361">
        <f>ROUND((G482*J482),4)</f>
        <v>113.74</v>
      </c>
    </row>
    <row r="483" spans="1:11" x14ac:dyDescent="0.2">
      <c r="A483" s="323"/>
      <c r="B483" s="301"/>
      <c r="C483" s="301"/>
      <c r="D483" s="301"/>
      <c r="E483" s="301"/>
      <c r="F483" s="302"/>
      <c r="G483" s="832"/>
      <c r="H483" s="833"/>
      <c r="I483" s="606"/>
      <c r="J483" s="337"/>
      <c r="K483" s="306"/>
    </row>
    <row r="484" spans="1:11" x14ac:dyDescent="0.2">
      <c r="A484" s="323"/>
      <c r="B484" s="301"/>
      <c r="C484" s="301"/>
      <c r="D484" s="301"/>
      <c r="E484" s="301"/>
      <c r="F484" s="302"/>
      <c r="G484" s="832"/>
      <c r="H484" s="833"/>
      <c r="I484" s="606"/>
      <c r="J484" s="337"/>
      <c r="K484" s="306"/>
    </row>
    <row r="485" spans="1:11" x14ac:dyDescent="0.2">
      <c r="A485" s="323"/>
      <c r="B485" s="301"/>
      <c r="C485" s="301"/>
      <c r="D485" s="301"/>
      <c r="E485" s="301"/>
      <c r="F485" s="302"/>
      <c r="G485" s="832"/>
      <c r="H485" s="833"/>
      <c r="I485" s="606"/>
      <c r="J485" s="337"/>
      <c r="K485" s="306"/>
    </row>
    <row r="486" spans="1:11" x14ac:dyDescent="0.2">
      <c r="A486" s="836" t="s">
        <v>140</v>
      </c>
      <c r="B486" s="837"/>
      <c r="C486" s="837"/>
      <c r="D486" s="837"/>
      <c r="E486" s="837"/>
      <c r="F486" s="837"/>
      <c r="G486" s="837"/>
      <c r="H486" s="837"/>
      <c r="I486" s="837"/>
      <c r="J486" s="838"/>
      <c r="K486" s="328">
        <f>SUM(K482:K485)</f>
        <v>113.74</v>
      </c>
    </row>
    <row r="487" spans="1:11" x14ac:dyDescent="0.2">
      <c r="A487" s="822" t="s">
        <v>141</v>
      </c>
      <c r="B487" s="839"/>
      <c r="C487" s="839"/>
      <c r="D487" s="839"/>
      <c r="E487" s="839"/>
      <c r="F487" s="841"/>
      <c r="G487" s="843" t="s">
        <v>42</v>
      </c>
      <c r="H487" s="844"/>
      <c r="I487" s="831" t="s">
        <v>126</v>
      </c>
      <c r="J487" s="830" t="s">
        <v>138</v>
      </c>
      <c r="K487" s="830" t="s">
        <v>139</v>
      </c>
    </row>
    <row r="488" spans="1:11" x14ac:dyDescent="0.2">
      <c r="A488" s="824"/>
      <c r="B488" s="840"/>
      <c r="C488" s="840"/>
      <c r="D488" s="840"/>
      <c r="E488" s="840"/>
      <c r="F488" s="842"/>
      <c r="G488" s="845"/>
      <c r="H488" s="846"/>
      <c r="I488" s="831"/>
      <c r="J488" s="830"/>
      <c r="K488" s="831"/>
    </row>
    <row r="489" spans="1:11" x14ac:dyDescent="0.2">
      <c r="A489" s="323"/>
      <c r="B489" s="301"/>
      <c r="C489" s="301"/>
      <c r="D489" s="301"/>
      <c r="E489" s="301"/>
      <c r="F489" s="302"/>
      <c r="G489" s="832"/>
      <c r="H489" s="833"/>
      <c r="I489" s="606"/>
      <c r="J489" s="337"/>
      <c r="K489" s="306"/>
    </row>
    <row r="490" spans="1:11" x14ac:dyDescent="0.2">
      <c r="A490" s="323"/>
      <c r="B490" s="301"/>
      <c r="C490" s="301"/>
      <c r="D490" s="301"/>
      <c r="E490" s="301"/>
      <c r="F490" s="302"/>
      <c r="G490" s="832"/>
      <c r="H490" s="833"/>
      <c r="I490" s="606"/>
      <c r="J490" s="337"/>
      <c r="K490" s="306"/>
    </row>
    <row r="491" spans="1:11" x14ac:dyDescent="0.2">
      <c r="A491" s="323"/>
      <c r="B491" s="301"/>
      <c r="C491" s="301"/>
      <c r="D491" s="301"/>
      <c r="E491" s="301"/>
      <c r="F491" s="302"/>
      <c r="G491" s="832"/>
      <c r="H491" s="833"/>
      <c r="I491" s="606"/>
      <c r="J491" s="337"/>
      <c r="K491" s="306"/>
    </row>
    <row r="492" spans="1:11" x14ac:dyDescent="0.2">
      <c r="A492" s="324"/>
      <c r="B492" s="309"/>
      <c r="C492" s="309"/>
      <c r="D492" s="309"/>
      <c r="E492" s="309"/>
      <c r="F492" s="310"/>
      <c r="G492" s="834"/>
      <c r="H492" s="835"/>
      <c r="I492" s="605"/>
      <c r="J492" s="339"/>
      <c r="K492" s="314"/>
    </row>
    <row r="493" spans="1:11" x14ac:dyDescent="0.2">
      <c r="A493" s="836" t="s">
        <v>142</v>
      </c>
      <c r="B493" s="837"/>
      <c r="C493" s="837"/>
      <c r="D493" s="837"/>
      <c r="E493" s="837"/>
      <c r="F493" s="837"/>
      <c r="G493" s="837"/>
      <c r="H493" s="837"/>
      <c r="I493" s="837"/>
      <c r="J493" s="838"/>
      <c r="K493" s="338"/>
    </row>
    <row r="494" spans="1:11" x14ac:dyDescent="0.2">
      <c r="A494" s="822" t="s">
        <v>143</v>
      </c>
      <c r="B494" s="839"/>
      <c r="C494" s="839"/>
      <c r="D494" s="839"/>
      <c r="E494" s="839"/>
      <c r="F494" s="841"/>
      <c r="G494" s="843" t="s">
        <v>42</v>
      </c>
      <c r="H494" s="844"/>
      <c r="I494" s="831" t="s">
        <v>126</v>
      </c>
      <c r="J494" s="830" t="s">
        <v>138</v>
      </c>
      <c r="K494" s="830" t="s">
        <v>139</v>
      </c>
    </row>
    <row r="495" spans="1:11" x14ac:dyDescent="0.2">
      <c r="A495" s="824"/>
      <c r="B495" s="840"/>
      <c r="C495" s="840"/>
      <c r="D495" s="840"/>
      <c r="E495" s="840"/>
      <c r="F495" s="842"/>
      <c r="G495" s="845"/>
      <c r="H495" s="846"/>
      <c r="I495" s="831"/>
      <c r="J495" s="830"/>
      <c r="K495" s="831"/>
    </row>
    <row r="496" spans="1:11" x14ac:dyDescent="0.2">
      <c r="A496" s="323"/>
      <c r="B496" s="301"/>
      <c r="C496" s="301"/>
      <c r="D496" s="301"/>
      <c r="E496" s="301"/>
      <c r="F496" s="302"/>
      <c r="G496" s="832"/>
      <c r="H496" s="833"/>
      <c r="I496" s="606"/>
      <c r="J496" s="337"/>
      <c r="K496" s="306"/>
    </row>
    <row r="497" spans="1:11" x14ac:dyDescent="0.2">
      <c r="A497" s="323"/>
      <c r="B497" s="301"/>
      <c r="C497" s="301"/>
      <c r="D497" s="301"/>
      <c r="E497" s="301"/>
      <c r="F497" s="302"/>
      <c r="G497" s="832"/>
      <c r="H497" s="833"/>
      <c r="I497" s="606"/>
      <c r="J497" s="337"/>
      <c r="K497" s="306"/>
    </row>
    <row r="498" spans="1:11" x14ac:dyDescent="0.2">
      <c r="A498" s="323"/>
      <c r="B498" s="301"/>
      <c r="C498" s="301"/>
      <c r="D498" s="301"/>
      <c r="E498" s="301"/>
      <c r="F498" s="302"/>
      <c r="G498" s="832"/>
      <c r="H498" s="833"/>
      <c r="I498" s="606"/>
      <c r="J498" s="337"/>
      <c r="K498" s="306"/>
    </row>
    <row r="499" spans="1:11" x14ac:dyDescent="0.2">
      <c r="A499" s="324"/>
      <c r="B499" s="309"/>
      <c r="C499" s="309"/>
      <c r="D499" s="309"/>
      <c r="E499" s="309"/>
      <c r="F499" s="310"/>
      <c r="G499" s="834"/>
      <c r="H499" s="835"/>
      <c r="I499" s="605"/>
      <c r="J499" s="339"/>
      <c r="K499" s="314"/>
    </row>
    <row r="500" spans="1:11" x14ac:dyDescent="0.2">
      <c r="A500" s="836" t="s">
        <v>144</v>
      </c>
      <c r="B500" s="837"/>
      <c r="C500" s="837"/>
      <c r="D500" s="837"/>
      <c r="E500" s="837"/>
      <c r="F500" s="837"/>
      <c r="G500" s="837"/>
      <c r="H500" s="837"/>
      <c r="I500" s="837"/>
      <c r="J500" s="838"/>
      <c r="K500" s="338"/>
    </row>
    <row r="501" spans="1:11" x14ac:dyDescent="0.2">
      <c r="A501" s="822" t="s">
        <v>145</v>
      </c>
      <c r="B501" s="823"/>
      <c r="C501" s="820" t="s">
        <v>146</v>
      </c>
      <c r="D501" s="340" t="s">
        <v>147</v>
      </c>
      <c r="E501" s="818" t="s">
        <v>148</v>
      </c>
      <c r="F501" s="818"/>
      <c r="G501" s="819"/>
      <c r="H501" s="814" t="s">
        <v>149</v>
      </c>
      <c r="I501" s="815"/>
      <c r="J501" s="816"/>
      <c r="K501" s="812" t="s">
        <v>150</v>
      </c>
    </row>
    <row r="502" spans="1:11" x14ac:dyDescent="0.2">
      <c r="A502" s="826"/>
      <c r="B502" s="827"/>
      <c r="C502" s="821"/>
      <c r="D502" s="341"/>
      <c r="E502" s="378" t="s">
        <v>151</v>
      </c>
      <c r="F502" s="342" t="s">
        <v>152</v>
      </c>
      <c r="G502" s="343" t="s">
        <v>153</v>
      </c>
      <c r="H502" s="378" t="s">
        <v>151</v>
      </c>
      <c r="I502" s="342" t="s">
        <v>152</v>
      </c>
      <c r="J502" s="342" t="s">
        <v>153</v>
      </c>
      <c r="K502" s="813"/>
    </row>
    <row r="503" spans="1:11" x14ac:dyDescent="0.2">
      <c r="A503" s="319"/>
      <c r="B503" s="293"/>
      <c r="C503" s="344"/>
      <c r="D503" s="345"/>
      <c r="E503" s="346"/>
      <c r="F503" s="347"/>
      <c r="G503" s="348"/>
      <c r="H503" s="379"/>
      <c r="I503" s="613"/>
      <c r="J503" s="349"/>
      <c r="K503" s="336"/>
    </row>
    <row r="504" spans="1:11" x14ac:dyDescent="0.2">
      <c r="A504" s="323"/>
      <c r="B504" s="301"/>
      <c r="C504" s="344"/>
      <c r="D504" s="350"/>
      <c r="E504" s="351"/>
      <c r="F504" s="352"/>
      <c r="G504" s="353"/>
      <c r="H504" s="379"/>
      <c r="I504" s="613"/>
      <c r="J504" s="349"/>
      <c r="K504" s="306"/>
    </row>
    <row r="505" spans="1:11" x14ac:dyDescent="0.2">
      <c r="A505" s="323"/>
      <c r="B505" s="301"/>
      <c r="C505" s="344"/>
      <c r="D505" s="350"/>
      <c r="E505" s="351"/>
      <c r="F505" s="352"/>
      <c r="G505" s="353"/>
      <c r="H505" s="379"/>
      <c r="I505" s="613"/>
      <c r="J505" s="349"/>
      <c r="K505" s="306"/>
    </row>
    <row r="506" spans="1:11" x14ac:dyDescent="0.2">
      <c r="A506" s="324"/>
      <c r="B506" s="309"/>
      <c r="C506" s="354"/>
      <c r="D506" s="355"/>
      <c r="E506" s="356"/>
      <c r="F506" s="357"/>
      <c r="G506" s="358"/>
      <c r="H506" s="379"/>
      <c r="I506" s="613"/>
      <c r="J506" s="349"/>
      <c r="K506" s="314"/>
    </row>
    <row r="507" spans="1:11" x14ac:dyDescent="0.2">
      <c r="A507" s="828" t="s">
        <v>154</v>
      </c>
      <c r="B507" s="808"/>
      <c r="C507" s="808"/>
      <c r="D507" s="829"/>
      <c r="E507" s="808"/>
      <c r="F507" s="808"/>
      <c r="G507" s="808"/>
      <c r="H507" s="808"/>
      <c r="I507" s="808"/>
      <c r="J507" s="809"/>
      <c r="K507" s="338"/>
    </row>
    <row r="508" spans="1:11" x14ac:dyDescent="0.2">
      <c r="A508" s="807" t="s">
        <v>155</v>
      </c>
      <c r="B508" s="808"/>
      <c r="C508" s="808"/>
      <c r="D508" s="808"/>
      <c r="E508" s="808"/>
      <c r="F508" s="808"/>
      <c r="G508" s="808"/>
      <c r="H508" s="808"/>
      <c r="I508" s="808"/>
      <c r="J508" s="809"/>
      <c r="K508" s="359">
        <f>ROUND((K486),2)</f>
        <v>113.74</v>
      </c>
    </row>
    <row r="509" spans="1:11" x14ac:dyDescent="0.2">
      <c r="A509" s="807" t="s">
        <v>23</v>
      </c>
      <c r="B509" s="808"/>
      <c r="C509" s="808"/>
      <c r="D509" s="808"/>
      <c r="E509" s="808"/>
      <c r="F509" s="808"/>
      <c r="G509" s="808"/>
      <c r="H509" s="808"/>
      <c r="I509" s="808"/>
      <c r="J509" s="809"/>
      <c r="K509" s="359">
        <f>ROUND((K508*  10.37/100),4)</f>
        <v>11.7948</v>
      </c>
    </row>
    <row r="510" spans="1:11" x14ac:dyDescent="0.2">
      <c r="A510" s="807" t="s">
        <v>156</v>
      </c>
      <c r="B510" s="808"/>
      <c r="C510" s="808"/>
      <c r="D510" s="808"/>
      <c r="E510" s="808"/>
      <c r="F510" s="808"/>
      <c r="G510" s="808"/>
      <c r="H510" s="808"/>
      <c r="I510" s="808"/>
      <c r="J510" s="809"/>
      <c r="K510" s="359">
        <f>K508+K509</f>
        <v>125.53479999999999</v>
      </c>
    </row>
    <row r="513" spans="1:11" ht="56.25" customHeight="1" x14ac:dyDescent="0.2">
      <c r="A513" s="666" t="s">
        <v>110</v>
      </c>
      <c r="B513" s="667"/>
      <c r="C513" s="667"/>
      <c r="D513" s="667"/>
      <c r="E513" s="667"/>
      <c r="F513" s="667"/>
      <c r="G513" s="667"/>
      <c r="H513" s="667"/>
      <c r="I513" s="667"/>
      <c r="J513" s="667"/>
      <c r="K513" s="668"/>
    </row>
    <row r="514" spans="1:11" ht="18" customHeight="1" x14ac:dyDescent="0.2">
      <c r="A514" s="275" t="s">
        <v>111</v>
      </c>
      <c r="B514" s="276"/>
      <c r="C514" s="669"/>
      <c r="D514" s="669"/>
      <c r="E514" s="669"/>
      <c r="F514" s="669"/>
      <c r="G514" s="669"/>
      <c r="H514" s="669"/>
      <c r="I514" s="669"/>
      <c r="J514" s="669"/>
      <c r="K514" s="670"/>
    </row>
    <row r="515" spans="1:11" ht="18" customHeight="1" x14ac:dyDescent="0.2">
      <c r="A515" s="275" t="s">
        <v>315</v>
      </c>
      <c r="B515" s="276"/>
      <c r="C515" s="277" t="s">
        <v>66</v>
      </c>
      <c r="E515" s="671" t="s">
        <v>316</v>
      </c>
      <c r="F515" s="671"/>
      <c r="G515" s="671"/>
      <c r="H515" s="279"/>
      <c r="I515" s="604" t="s">
        <v>112</v>
      </c>
      <c r="J515" s="671" t="s">
        <v>113</v>
      </c>
      <c r="K515" s="672"/>
    </row>
    <row r="516" spans="1:11" x14ac:dyDescent="0.2">
      <c r="A516" s="280" t="s">
        <v>114</v>
      </c>
      <c r="B516" s="281" t="s">
        <v>375</v>
      </c>
      <c r="C516" s="282"/>
      <c r="D516" s="282"/>
      <c r="E516" s="282"/>
      <c r="F516" s="282"/>
      <c r="G516" s="282"/>
      <c r="H516" s="282"/>
      <c r="I516" s="282"/>
      <c r="J516" s="282"/>
      <c r="K516" s="283"/>
    </row>
    <row r="517" spans="1:11" x14ac:dyDescent="0.2">
      <c r="A517" s="284" t="s">
        <v>115</v>
      </c>
      <c r="B517" s="285"/>
      <c r="D517" s="286"/>
      <c r="E517" s="286"/>
      <c r="F517" s="286"/>
      <c r="G517" s="286"/>
      <c r="H517" s="286"/>
      <c r="I517" s="603"/>
      <c r="J517" s="287" t="s">
        <v>52</v>
      </c>
      <c r="K517" s="288" t="s">
        <v>318</v>
      </c>
    </row>
    <row r="518" spans="1:11" ht="23.25" customHeight="1" x14ac:dyDescent="0.2">
      <c r="A518" s="869" t="s">
        <v>376</v>
      </c>
      <c r="B518" s="870"/>
      <c r="C518" s="870"/>
      <c r="D518" s="870"/>
      <c r="E518" s="870"/>
      <c r="F518" s="870"/>
      <c r="G518" s="870"/>
      <c r="H518" s="870"/>
      <c r="I518" s="871"/>
      <c r="J518" s="289" t="s">
        <v>116</v>
      </c>
      <c r="K518" s="288" t="s">
        <v>345</v>
      </c>
    </row>
    <row r="519" spans="1:11" x14ac:dyDescent="0.2">
      <c r="A519" s="822" t="s">
        <v>117</v>
      </c>
      <c r="B519" s="839"/>
      <c r="C519" s="839"/>
      <c r="D519" s="839"/>
      <c r="E519" s="823"/>
      <c r="F519" s="290" t="s">
        <v>54</v>
      </c>
      <c r="G519" s="873" t="s">
        <v>118</v>
      </c>
      <c r="H519" s="874"/>
      <c r="I519" s="873" t="s">
        <v>119</v>
      </c>
      <c r="J519" s="874"/>
      <c r="K519" s="867" t="s">
        <v>120</v>
      </c>
    </row>
    <row r="520" spans="1:11" ht="25.5" x14ac:dyDescent="0.2">
      <c r="A520" s="824"/>
      <c r="B520" s="840"/>
      <c r="C520" s="840"/>
      <c r="D520" s="840"/>
      <c r="E520" s="825"/>
      <c r="F520" s="290"/>
      <c r="G520" s="290" t="s">
        <v>121</v>
      </c>
      <c r="H520" s="381" t="s">
        <v>122</v>
      </c>
      <c r="I520" s="290" t="s">
        <v>123</v>
      </c>
      <c r="J520" s="290" t="s">
        <v>122</v>
      </c>
      <c r="K520" s="868"/>
    </row>
    <row r="521" spans="1:11" s="299" customFormat="1" x14ac:dyDescent="0.25">
      <c r="A521" s="291"/>
      <c r="B521" s="292"/>
      <c r="C521" s="292"/>
      <c r="D521" s="292"/>
      <c r="E521" s="293"/>
      <c r="F521" s="294"/>
      <c r="G521" s="295"/>
      <c r="H521" s="296"/>
      <c r="I521" s="602"/>
      <c r="J521" s="297"/>
      <c r="K521" s="298"/>
    </row>
    <row r="522" spans="1:11" s="299" customFormat="1" x14ac:dyDescent="0.25">
      <c r="A522" s="300"/>
      <c r="B522" s="301"/>
      <c r="C522" s="301"/>
      <c r="D522" s="301"/>
      <c r="E522" s="302"/>
      <c r="F522" s="303"/>
      <c r="G522" s="304"/>
      <c r="H522" s="305"/>
      <c r="I522" s="600"/>
      <c r="J522" s="306"/>
      <c r="K522" s="307"/>
    </row>
    <row r="523" spans="1:11" s="299" customFormat="1" x14ac:dyDescent="0.25">
      <c r="A523" s="300"/>
      <c r="B523" s="301"/>
      <c r="C523" s="301"/>
      <c r="D523" s="301"/>
      <c r="E523" s="302"/>
      <c r="F523" s="303"/>
      <c r="G523" s="304"/>
      <c r="H523" s="305"/>
      <c r="I523" s="600"/>
      <c r="J523" s="306"/>
      <c r="K523" s="307"/>
    </row>
    <row r="524" spans="1:11" s="299" customFormat="1" x14ac:dyDescent="0.25">
      <c r="A524" s="300"/>
      <c r="B524" s="301"/>
      <c r="C524" s="301"/>
      <c r="D524" s="301"/>
      <c r="E524" s="302"/>
      <c r="F524" s="303"/>
      <c r="G524" s="304"/>
      <c r="H524" s="305"/>
      <c r="I524" s="600"/>
      <c r="J524" s="306"/>
      <c r="K524" s="307"/>
    </row>
    <row r="525" spans="1:11" s="299" customFormat="1" x14ac:dyDescent="0.25">
      <c r="A525" s="300"/>
      <c r="B525" s="301"/>
      <c r="C525" s="301"/>
      <c r="D525" s="301"/>
      <c r="E525" s="302"/>
      <c r="F525" s="303"/>
      <c r="G525" s="304"/>
      <c r="H525" s="305"/>
      <c r="I525" s="600"/>
      <c r="J525" s="306"/>
      <c r="K525" s="307"/>
    </row>
    <row r="526" spans="1:11" s="299" customFormat="1" x14ac:dyDescent="0.25">
      <c r="A526" s="300"/>
      <c r="B526" s="301"/>
      <c r="C526" s="301"/>
      <c r="D526" s="301"/>
      <c r="E526" s="302"/>
      <c r="F526" s="303"/>
      <c r="G526" s="304"/>
      <c r="H526" s="305"/>
      <c r="I526" s="600"/>
      <c r="J526" s="306"/>
      <c r="K526" s="307"/>
    </row>
    <row r="527" spans="1:11" s="299" customFormat="1" x14ac:dyDescent="0.25">
      <c r="A527" s="300"/>
      <c r="B527" s="301"/>
      <c r="C527" s="301"/>
      <c r="D527" s="301"/>
      <c r="E527" s="302"/>
      <c r="F527" s="303"/>
      <c r="G527" s="304"/>
      <c r="H527" s="305"/>
      <c r="I527" s="600"/>
      <c r="J527" s="306"/>
      <c r="K527" s="307"/>
    </row>
    <row r="528" spans="1:11" s="299" customFormat="1" x14ac:dyDescent="0.25">
      <c r="A528" s="308"/>
      <c r="B528" s="309"/>
      <c r="C528" s="309"/>
      <c r="D528" s="309"/>
      <c r="E528" s="310"/>
      <c r="F528" s="311"/>
      <c r="G528" s="312"/>
      <c r="H528" s="313"/>
      <c r="I528" s="611"/>
      <c r="J528" s="314"/>
      <c r="K528" s="315"/>
    </row>
    <row r="529" spans="1:11" x14ac:dyDescent="0.2">
      <c r="A529" s="836" t="s">
        <v>124</v>
      </c>
      <c r="B529" s="837"/>
      <c r="C529" s="837"/>
      <c r="D529" s="837"/>
      <c r="E529" s="837"/>
      <c r="F529" s="837"/>
      <c r="G529" s="837"/>
      <c r="H529" s="837"/>
      <c r="I529" s="837"/>
      <c r="J529" s="838"/>
      <c r="K529" s="316"/>
    </row>
    <row r="530" spans="1:11" ht="15.75" customHeight="1" x14ac:dyDescent="0.2">
      <c r="A530" s="822" t="s">
        <v>125</v>
      </c>
      <c r="B530" s="839"/>
      <c r="C530" s="839"/>
      <c r="D530" s="839"/>
      <c r="E530" s="839"/>
      <c r="F530" s="317"/>
      <c r="G530" s="317"/>
      <c r="H530" s="863" t="s">
        <v>54</v>
      </c>
      <c r="I530" s="880" t="s">
        <v>126</v>
      </c>
      <c r="J530" s="867" t="s">
        <v>127</v>
      </c>
      <c r="K530" s="867" t="s">
        <v>120</v>
      </c>
    </row>
    <row r="531" spans="1:11" ht="21.75" customHeight="1" x14ac:dyDescent="0.25">
      <c r="A531" s="824"/>
      <c r="B531" s="840"/>
      <c r="C531" s="840"/>
      <c r="D531" s="840"/>
      <c r="E531" s="840"/>
      <c r="F531" s="318"/>
      <c r="G531" s="269"/>
      <c r="H531" s="864"/>
      <c r="I531" s="881"/>
      <c r="J531" s="868"/>
      <c r="K531" s="868"/>
    </row>
    <row r="532" spans="1:11" x14ac:dyDescent="0.2">
      <c r="A532" s="319"/>
      <c r="B532" s="859"/>
      <c r="C532" s="859"/>
      <c r="D532" s="859"/>
      <c r="E532" s="859"/>
      <c r="F532" s="859"/>
      <c r="G532" s="860"/>
      <c r="H532" s="320"/>
      <c r="I532" s="609"/>
      <c r="J532" s="321"/>
      <c r="K532" s="322"/>
    </row>
    <row r="533" spans="1:11" x14ac:dyDescent="0.2">
      <c r="A533" s="323"/>
      <c r="B533" s="849"/>
      <c r="C533" s="849"/>
      <c r="D533" s="849"/>
      <c r="E533" s="849"/>
      <c r="F533" s="849"/>
      <c r="G533" s="850"/>
      <c r="H533" s="320"/>
      <c r="I533" s="609"/>
      <c r="J533" s="306"/>
      <c r="K533" s="306"/>
    </row>
    <row r="534" spans="1:11" x14ac:dyDescent="0.2">
      <c r="A534" s="323"/>
      <c r="B534" s="849"/>
      <c r="C534" s="849"/>
      <c r="D534" s="849"/>
      <c r="E534" s="849"/>
      <c r="F534" s="849"/>
      <c r="G534" s="850"/>
      <c r="H534" s="320"/>
      <c r="I534" s="609"/>
      <c r="J534" s="306"/>
      <c r="K534" s="306"/>
    </row>
    <row r="535" spans="1:11" x14ac:dyDescent="0.2">
      <c r="A535" s="323"/>
      <c r="B535" s="849"/>
      <c r="C535" s="849"/>
      <c r="D535" s="849"/>
      <c r="E535" s="849"/>
      <c r="F535" s="849"/>
      <c r="G535" s="850"/>
      <c r="H535" s="320"/>
      <c r="I535" s="609"/>
      <c r="J535" s="306"/>
      <c r="K535" s="306"/>
    </row>
    <row r="536" spans="1:11" x14ac:dyDescent="0.2">
      <c r="A536" s="323"/>
      <c r="B536" s="849"/>
      <c r="C536" s="849"/>
      <c r="D536" s="849"/>
      <c r="E536" s="849"/>
      <c r="F536" s="849"/>
      <c r="G536" s="850"/>
      <c r="H536" s="320"/>
      <c r="I536" s="609"/>
      <c r="J536" s="306"/>
      <c r="K536" s="306"/>
    </row>
    <row r="537" spans="1:11" x14ac:dyDescent="0.2">
      <c r="A537" s="323"/>
      <c r="B537" s="849"/>
      <c r="C537" s="849"/>
      <c r="D537" s="849"/>
      <c r="E537" s="849"/>
      <c r="F537" s="849"/>
      <c r="G537" s="850"/>
      <c r="H537" s="320"/>
      <c r="I537" s="609"/>
      <c r="J537" s="306"/>
      <c r="K537" s="306"/>
    </row>
    <row r="538" spans="1:11" x14ac:dyDescent="0.2">
      <c r="A538" s="323"/>
      <c r="B538" s="849"/>
      <c r="C538" s="849"/>
      <c r="D538" s="849"/>
      <c r="E538" s="849"/>
      <c r="F538" s="849"/>
      <c r="G538" s="850"/>
      <c r="H538" s="320"/>
      <c r="I538" s="609"/>
      <c r="J538" s="306"/>
      <c r="K538" s="306"/>
    </row>
    <row r="539" spans="1:11" x14ac:dyDescent="0.2">
      <c r="A539" s="324"/>
      <c r="B539" s="851"/>
      <c r="C539" s="851"/>
      <c r="D539" s="851"/>
      <c r="E539" s="851"/>
      <c r="F539" s="851"/>
      <c r="G539" s="852"/>
      <c r="H539" s="325"/>
      <c r="I539" s="608"/>
      <c r="J539" s="314"/>
      <c r="K539" s="314"/>
    </row>
    <row r="540" spans="1:11" ht="15" x14ac:dyDescent="0.25">
      <c r="A540" s="326"/>
      <c r="C540" s="270"/>
      <c r="D540" s="836" t="s">
        <v>131</v>
      </c>
      <c r="E540" s="837"/>
      <c r="F540" s="837"/>
      <c r="G540" s="837"/>
      <c r="H540" s="837"/>
      <c r="I540" s="837"/>
      <c r="J540" s="838"/>
      <c r="K540" s="328"/>
    </row>
    <row r="541" spans="1:11" x14ac:dyDescent="0.2">
      <c r="A541" s="326" t="s">
        <v>132</v>
      </c>
      <c r="B541" s="329"/>
      <c r="C541" s="330">
        <v>1</v>
      </c>
      <c r="D541" s="853" t="s">
        <v>133</v>
      </c>
      <c r="E541" s="854"/>
      <c r="F541" s="854"/>
      <c r="G541" s="854"/>
      <c r="H541" s="854"/>
      <c r="I541" s="854"/>
      <c r="J541" s="855"/>
      <c r="K541" s="328"/>
    </row>
    <row r="542" spans="1:11" x14ac:dyDescent="0.2">
      <c r="A542" s="331"/>
      <c r="B542" s="329"/>
      <c r="C542" s="332"/>
      <c r="D542" s="879" t="s">
        <v>134</v>
      </c>
      <c r="E542" s="857"/>
      <c r="F542" s="857"/>
      <c r="G542" s="857"/>
      <c r="H542" s="857"/>
      <c r="I542" s="857"/>
      <c r="J542" s="858"/>
      <c r="K542" s="328"/>
    </row>
    <row r="543" spans="1:11" x14ac:dyDescent="0.2">
      <c r="A543" s="822" t="s">
        <v>137</v>
      </c>
      <c r="B543" s="839"/>
      <c r="C543" s="839"/>
      <c r="D543" s="839"/>
      <c r="E543" s="839"/>
      <c r="F543" s="841"/>
      <c r="G543" s="843" t="s">
        <v>42</v>
      </c>
      <c r="H543" s="844"/>
      <c r="I543" s="877" t="s">
        <v>126</v>
      </c>
      <c r="J543" s="875" t="s">
        <v>138</v>
      </c>
      <c r="K543" s="875" t="s">
        <v>139</v>
      </c>
    </row>
    <row r="544" spans="1:11" x14ac:dyDescent="0.2">
      <c r="A544" s="824"/>
      <c r="B544" s="840"/>
      <c r="C544" s="840"/>
      <c r="D544" s="840"/>
      <c r="E544" s="840"/>
      <c r="F544" s="842"/>
      <c r="G544" s="845"/>
      <c r="H544" s="846"/>
      <c r="I544" s="878"/>
      <c r="J544" s="876"/>
      <c r="K544" s="876"/>
    </row>
    <row r="545" spans="1:11" x14ac:dyDescent="0.2">
      <c r="A545" s="323" t="s">
        <v>377</v>
      </c>
      <c r="B545" s="301" t="s">
        <v>376</v>
      </c>
      <c r="C545" s="301"/>
      <c r="D545" s="301"/>
      <c r="E545" s="301"/>
      <c r="F545" s="293"/>
      <c r="G545" s="847">
        <v>1</v>
      </c>
      <c r="H545" s="848"/>
      <c r="I545" s="599" t="s">
        <v>158</v>
      </c>
      <c r="J545" s="360">
        <v>133.08000000000001</v>
      </c>
      <c r="K545" s="361">
        <f>ROUND((G545*J545),4)</f>
        <v>133.08000000000001</v>
      </c>
    </row>
    <row r="546" spans="1:11" x14ac:dyDescent="0.2">
      <c r="A546" s="323"/>
      <c r="B546" s="301"/>
      <c r="C546" s="301"/>
      <c r="D546" s="301"/>
      <c r="E546" s="301"/>
      <c r="F546" s="302"/>
      <c r="G546" s="832"/>
      <c r="H546" s="833"/>
      <c r="I546" s="606"/>
      <c r="J546" s="337"/>
      <c r="K546" s="306"/>
    </row>
    <row r="547" spans="1:11" x14ac:dyDescent="0.2">
      <c r="A547" s="323"/>
      <c r="B547" s="301"/>
      <c r="C547" s="301"/>
      <c r="D547" s="301"/>
      <c r="E547" s="301"/>
      <c r="F547" s="302"/>
      <c r="G547" s="832"/>
      <c r="H547" s="833"/>
      <c r="I547" s="606"/>
      <c r="J547" s="337"/>
      <c r="K547" s="306"/>
    </row>
    <row r="548" spans="1:11" x14ac:dyDescent="0.2">
      <c r="A548" s="323"/>
      <c r="B548" s="301"/>
      <c r="C548" s="301"/>
      <c r="D548" s="301"/>
      <c r="E548" s="301"/>
      <c r="F548" s="302"/>
      <c r="G548" s="834"/>
      <c r="H548" s="835"/>
      <c r="I548" s="606"/>
      <c r="J548" s="337"/>
      <c r="K548" s="306"/>
    </row>
    <row r="549" spans="1:11" x14ac:dyDescent="0.2">
      <c r="A549" s="836" t="s">
        <v>140</v>
      </c>
      <c r="B549" s="837"/>
      <c r="C549" s="837"/>
      <c r="D549" s="837"/>
      <c r="E549" s="837"/>
      <c r="F549" s="837"/>
      <c r="G549" s="837"/>
      <c r="H549" s="837"/>
      <c r="I549" s="837"/>
      <c r="J549" s="838"/>
      <c r="K549" s="328">
        <f>SUM(K545:K548)</f>
        <v>133.08000000000001</v>
      </c>
    </row>
    <row r="550" spans="1:11" x14ac:dyDescent="0.2">
      <c r="A550" s="822" t="s">
        <v>141</v>
      </c>
      <c r="B550" s="839"/>
      <c r="C550" s="839"/>
      <c r="D550" s="839"/>
      <c r="E550" s="839"/>
      <c r="F550" s="841"/>
      <c r="G550" s="843" t="s">
        <v>42</v>
      </c>
      <c r="H550" s="844"/>
      <c r="I550" s="877" t="s">
        <v>126</v>
      </c>
      <c r="J550" s="875" t="s">
        <v>138</v>
      </c>
      <c r="K550" s="875" t="s">
        <v>139</v>
      </c>
    </row>
    <row r="551" spans="1:11" x14ac:dyDescent="0.2">
      <c r="A551" s="824"/>
      <c r="B551" s="840"/>
      <c r="C551" s="840"/>
      <c r="D551" s="840"/>
      <c r="E551" s="840"/>
      <c r="F551" s="842"/>
      <c r="G551" s="845"/>
      <c r="H551" s="846"/>
      <c r="I551" s="878"/>
      <c r="J551" s="876"/>
      <c r="K551" s="876"/>
    </row>
    <row r="552" spans="1:11" x14ac:dyDescent="0.2">
      <c r="A552" s="323"/>
      <c r="B552" s="301"/>
      <c r="C552" s="301"/>
      <c r="D552" s="301"/>
      <c r="E552" s="301"/>
      <c r="F552" s="302"/>
      <c r="G552" s="847"/>
      <c r="H552" s="848"/>
      <c r="I552" s="606"/>
      <c r="J552" s="337"/>
      <c r="K552" s="306"/>
    </row>
    <row r="553" spans="1:11" x14ac:dyDescent="0.2">
      <c r="A553" s="323"/>
      <c r="B553" s="301"/>
      <c r="C553" s="301"/>
      <c r="D553" s="301"/>
      <c r="E553" s="301"/>
      <c r="F553" s="302"/>
      <c r="G553" s="832"/>
      <c r="H553" s="833"/>
      <c r="I553" s="606"/>
      <c r="J553" s="337"/>
      <c r="K553" s="306"/>
    </row>
    <row r="554" spans="1:11" x14ac:dyDescent="0.2">
      <c r="A554" s="323"/>
      <c r="B554" s="301"/>
      <c r="C554" s="301"/>
      <c r="D554" s="301"/>
      <c r="E554" s="301"/>
      <c r="F554" s="302"/>
      <c r="G554" s="832"/>
      <c r="H554" s="833"/>
      <c r="I554" s="606"/>
      <c r="J554" s="337"/>
      <c r="K554" s="306"/>
    </row>
    <row r="555" spans="1:11" x14ac:dyDescent="0.2">
      <c r="A555" s="324"/>
      <c r="B555" s="309"/>
      <c r="C555" s="309"/>
      <c r="D555" s="309"/>
      <c r="E555" s="309"/>
      <c r="F555" s="310"/>
      <c r="G555" s="834"/>
      <c r="H555" s="835"/>
      <c r="I555" s="605"/>
      <c r="J555" s="339"/>
      <c r="K555" s="314"/>
    </row>
    <row r="556" spans="1:11" x14ac:dyDescent="0.2">
      <c r="A556" s="836" t="s">
        <v>142</v>
      </c>
      <c r="B556" s="837"/>
      <c r="C556" s="837"/>
      <c r="D556" s="837"/>
      <c r="E556" s="837"/>
      <c r="F556" s="837"/>
      <c r="G556" s="837"/>
      <c r="H556" s="837"/>
      <c r="I556" s="837"/>
      <c r="J556" s="838"/>
      <c r="K556" s="338"/>
    </row>
    <row r="557" spans="1:11" x14ac:dyDescent="0.2">
      <c r="A557" s="822" t="s">
        <v>143</v>
      </c>
      <c r="B557" s="839"/>
      <c r="C557" s="839"/>
      <c r="D557" s="839"/>
      <c r="E557" s="839"/>
      <c r="F557" s="841"/>
      <c r="G557" s="843" t="s">
        <v>42</v>
      </c>
      <c r="H557" s="844"/>
      <c r="I557" s="877" t="s">
        <v>126</v>
      </c>
      <c r="J557" s="875" t="s">
        <v>138</v>
      </c>
      <c r="K557" s="875" t="s">
        <v>139</v>
      </c>
    </row>
    <row r="558" spans="1:11" x14ac:dyDescent="0.2">
      <c r="A558" s="824"/>
      <c r="B558" s="840"/>
      <c r="C558" s="840"/>
      <c r="D558" s="840"/>
      <c r="E558" s="840"/>
      <c r="F558" s="842"/>
      <c r="G558" s="845"/>
      <c r="H558" s="846"/>
      <c r="I558" s="878"/>
      <c r="J558" s="876"/>
      <c r="K558" s="876"/>
    </row>
    <row r="559" spans="1:11" x14ac:dyDescent="0.2">
      <c r="A559" s="323"/>
      <c r="B559" s="301"/>
      <c r="C559" s="301"/>
      <c r="D559" s="301"/>
      <c r="E559" s="301"/>
      <c r="F559" s="302"/>
      <c r="G559" s="847"/>
      <c r="H559" s="848"/>
      <c r="I559" s="606"/>
      <c r="J559" s="337"/>
      <c r="K559" s="306"/>
    </row>
    <row r="560" spans="1:11" x14ac:dyDescent="0.2">
      <c r="A560" s="323"/>
      <c r="B560" s="301"/>
      <c r="C560" s="301"/>
      <c r="D560" s="301"/>
      <c r="E560" s="301"/>
      <c r="F560" s="302"/>
      <c r="G560" s="832"/>
      <c r="H560" s="833"/>
      <c r="I560" s="606"/>
      <c r="J560" s="337"/>
      <c r="K560" s="306"/>
    </row>
    <row r="561" spans="1:11" x14ac:dyDescent="0.2">
      <c r="A561" s="323"/>
      <c r="B561" s="301"/>
      <c r="C561" s="301"/>
      <c r="D561" s="301"/>
      <c r="E561" s="301"/>
      <c r="F561" s="302"/>
      <c r="G561" s="832"/>
      <c r="H561" s="833"/>
      <c r="I561" s="606"/>
      <c r="J561" s="337"/>
      <c r="K561" s="306"/>
    </row>
    <row r="562" spans="1:11" x14ac:dyDescent="0.2">
      <c r="A562" s="324"/>
      <c r="B562" s="309"/>
      <c r="C562" s="309"/>
      <c r="D562" s="309"/>
      <c r="E562" s="309"/>
      <c r="F562" s="310"/>
      <c r="G562" s="834"/>
      <c r="H562" s="835"/>
      <c r="I562" s="605"/>
      <c r="J562" s="339"/>
      <c r="K562" s="314"/>
    </row>
    <row r="563" spans="1:11" x14ac:dyDescent="0.2">
      <c r="A563" s="836" t="s">
        <v>144</v>
      </c>
      <c r="B563" s="837"/>
      <c r="C563" s="837"/>
      <c r="D563" s="837"/>
      <c r="E563" s="837"/>
      <c r="F563" s="837"/>
      <c r="G563" s="837"/>
      <c r="H563" s="837"/>
      <c r="I563" s="837"/>
      <c r="J563" s="838"/>
      <c r="K563" s="338"/>
    </row>
    <row r="564" spans="1:11" x14ac:dyDescent="0.2">
      <c r="A564" s="822" t="s">
        <v>145</v>
      </c>
      <c r="B564" s="823"/>
      <c r="C564" s="820" t="s">
        <v>146</v>
      </c>
      <c r="D564" s="340" t="s">
        <v>147</v>
      </c>
      <c r="E564" s="817" t="s">
        <v>148</v>
      </c>
      <c r="F564" s="818"/>
      <c r="G564" s="819"/>
      <c r="H564" s="814" t="s">
        <v>149</v>
      </c>
      <c r="I564" s="815"/>
      <c r="J564" s="816"/>
      <c r="K564" s="812" t="s">
        <v>150</v>
      </c>
    </row>
    <row r="565" spans="1:11" x14ac:dyDescent="0.2">
      <c r="A565" s="824"/>
      <c r="B565" s="825"/>
      <c r="C565" s="821"/>
      <c r="D565" s="341"/>
      <c r="E565" s="378" t="s">
        <v>151</v>
      </c>
      <c r="F565" s="342" t="s">
        <v>152</v>
      </c>
      <c r="G565" s="343" t="s">
        <v>153</v>
      </c>
      <c r="H565" s="378" t="s">
        <v>151</v>
      </c>
      <c r="I565" s="342" t="s">
        <v>152</v>
      </c>
      <c r="J565" s="342" t="s">
        <v>153</v>
      </c>
      <c r="K565" s="813"/>
    </row>
    <row r="566" spans="1:11" x14ac:dyDescent="0.2">
      <c r="A566" s="319"/>
      <c r="B566" s="293"/>
      <c r="C566" s="344"/>
      <c r="D566" s="345"/>
      <c r="E566" s="346"/>
      <c r="F566" s="347"/>
      <c r="G566" s="348"/>
      <c r="H566" s="379"/>
      <c r="I566" s="613"/>
      <c r="J566" s="349"/>
      <c r="K566" s="336"/>
    </row>
    <row r="567" spans="1:11" x14ac:dyDescent="0.2">
      <c r="A567" s="323"/>
      <c r="B567" s="301"/>
      <c r="C567" s="344"/>
      <c r="D567" s="350"/>
      <c r="E567" s="351"/>
      <c r="F567" s="352"/>
      <c r="G567" s="353"/>
      <c r="H567" s="379"/>
      <c r="I567" s="613"/>
      <c r="J567" s="349"/>
      <c r="K567" s="306"/>
    </row>
    <row r="568" spans="1:11" x14ac:dyDescent="0.2">
      <c r="A568" s="323"/>
      <c r="B568" s="301"/>
      <c r="C568" s="344"/>
      <c r="D568" s="350"/>
      <c r="E568" s="351"/>
      <c r="F568" s="352"/>
      <c r="G568" s="353"/>
      <c r="H568" s="379"/>
      <c r="I568" s="613"/>
      <c r="J568" s="349"/>
      <c r="K568" s="306"/>
    </row>
    <row r="569" spans="1:11" x14ac:dyDescent="0.2">
      <c r="A569" s="324"/>
      <c r="B569" s="309"/>
      <c r="C569" s="354"/>
      <c r="D569" s="355"/>
      <c r="E569" s="356"/>
      <c r="F569" s="357"/>
      <c r="G569" s="358"/>
      <c r="H569" s="379"/>
      <c r="I569" s="613"/>
      <c r="J569" s="349"/>
      <c r="K569" s="314"/>
    </row>
    <row r="570" spans="1:11" x14ac:dyDescent="0.2">
      <c r="A570" s="807" t="s">
        <v>154</v>
      </c>
      <c r="B570" s="808"/>
      <c r="C570" s="808"/>
      <c r="D570" s="808"/>
      <c r="E570" s="808"/>
      <c r="F570" s="808"/>
      <c r="G570" s="808"/>
      <c r="H570" s="808"/>
      <c r="I570" s="808"/>
      <c r="J570" s="809"/>
      <c r="K570" s="338"/>
    </row>
    <row r="571" spans="1:11" x14ac:dyDescent="0.2">
      <c r="A571" s="807" t="s">
        <v>155</v>
      </c>
      <c r="B571" s="808"/>
      <c r="C571" s="808"/>
      <c r="D571" s="808"/>
      <c r="E571" s="808"/>
      <c r="F571" s="808"/>
      <c r="G571" s="808"/>
      <c r="H571" s="808"/>
      <c r="I571" s="808"/>
      <c r="J571" s="809"/>
      <c r="K571" s="359">
        <f>ROUND((K549),2)</f>
        <v>133.08000000000001</v>
      </c>
    </row>
    <row r="572" spans="1:11" x14ac:dyDescent="0.2">
      <c r="A572" s="807" t="s">
        <v>23</v>
      </c>
      <c r="B572" s="808"/>
      <c r="C572" s="808"/>
      <c r="D572" s="808"/>
      <c r="E572" s="808"/>
      <c r="F572" s="808"/>
      <c r="G572" s="808"/>
      <c r="H572" s="808"/>
      <c r="I572" s="808"/>
      <c r="J572" s="809"/>
      <c r="K572" s="359">
        <f>ROUND((K571*  10.37/100),4)</f>
        <v>13.8004</v>
      </c>
    </row>
    <row r="573" spans="1:11" x14ac:dyDescent="0.2">
      <c r="A573" s="807" t="s">
        <v>156</v>
      </c>
      <c r="B573" s="808"/>
      <c r="C573" s="808"/>
      <c r="D573" s="808"/>
      <c r="E573" s="808"/>
      <c r="F573" s="808"/>
      <c r="G573" s="808"/>
      <c r="H573" s="808"/>
      <c r="I573" s="808"/>
      <c r="J573" s="809"/>
      <c r="K573" s="359">
        <f>K571+K572</f>
        <v>146.88040000000001</v>
      </c>
    </row>
    <row r="576" spans="1:11" ht="56.25" customHeight="1" x14ac:dyDescent="0.2">
      <c r="A576" s="804" t="s">
        <v>110</v>
      </c>
      <c r="B576" s="805"/>
      <c r="C576" s="805"/>
      <c r="D576" s="805"/>
      <c r="E576" s="805"/>
      <c r="F576" s="805"/>
      <c r="G576" s="805"/>
      <c r="H576" s="805"/>
      <c r="I576" s="805"/>
      <c r="J576" s="805"/>
      <c r="K576" s="806"/>
    </row>
    <row r="577" spans="1:11" ht="18" customHeight="1" x14ac:dyDescent="0.2">
      <c r="A577" s="275" t="s">
        <v>111</v>
      </c>
      <c r="B577" s="276"/>
      <c r="C577" s="802"/>
      <c r="D577" s="802"/>
      <c r="E577" s="802"/>
      <c r="F577" s="802"/>
      <c r="G577" s="802"/>
      <c r="H577" s="802"/>
      <c r="I577" s="802"/>
      <c r="J577" s="802"/>
      <c r="K577" s="803"/>
    </row>
    <row r="578" spans="1:11" ht="18" customHeight="1" x14ac:dyDescent="0.2">
      <c r="A578" s="275" t="s">
        <v>315</v>
      </c>
      <c r="B578" s="276"/>
      <c r="C578" s="277" t="s">
        <v>66</v>
      </c>
      <c r="E578" s="810" t="s">
        <v>316</v>
      </c>
      <c r="F578" s="810"/>
      <c r="G578" s="810"/>
      <c r="H578" s="279"/>
      <c r="I578" s="604" t="s">
        <v>112</v>
      </c>
      <c r="J578" s="810" t="s">
        <v>113</v>
      </c>
      <c r="K578" s="811"/>
    </row>
    <row r="579" spans="1:11" x14ac:dyDescent="0.2">
      <c r="A579" s="280" t="s">
        <v>114</v>
      </c>
      <c r="B579" s="281" t="s">
        <v>378</v>
      </c>
      <c r="C579" s="282"/>
      <c r="D579" s="282"/>
      <c r="E579" s="282"/>
      <c r="F579" s="282"/>
      <c r="G579" s="282"/>
      <c r="H579" s="282"/>
      <c r="I579" s="282"/>
      <c r="J579" s="282"/>
      <c r="K579" s="283"/>
    </row>
    <row r="580" spans="1:11" x14ac:dyDescent="0.2">
      <c r="A580" s="284" t="s">
        <v>115</v>
      </c>
      <c r="B580" s="285"/>
      <c r="D580" s="286"/>
      <c r="E580" s="286"/>
      <c r="F580" s="286"/>
      <c r="G580" s="286"/>
      <c r="H580" s="286"/>
      <c r="I580" s="603"/>
      <c r="J580" s="287" t="s">
        <v>52</v>
      </c>
      <c r="K580" s="288" t="s">
        <v>318</v>
      </c>
    </row>
    <row r="581" spans="1:11" ht="23.25" customHeight="1" x14ac:dyDescent="0.2">
      <c r="A581" s="869" t="s">
        <v>379</v>
      </c>
      <c r="B581" s="870"/>
      <c r="C581" s="870"/>
      <c r="D581" s="870"/>
      <c r="E581" s="870"/>
      <c r="F581" s="870"/>
      <c r="G581" s="870"/>
      <c r="H581" s="870"/>
      <c r="I581" s="871"/>
      <c r="J581" s="289" t="s">
        <v>116</v>
      </c>
      <c r="K581" s="288" t="s">
        <v>345</v>
      </c>
    </row>
    <row r="582" spans="1:11" x14ac:dyDescent="0.2">
      <c r="A582" s="826" t="s">
        <v>117</v>
      </c>
      <c r="B582" s="872"/>
      <c r="C582" s="839"/>
      <c r="D582" s="839"/>
      <c r="E582" s="823"/>
      <c r="F582" s="290" t="s">
        <v>54</v>
      </c>
      <c r="G582" s="873" t="s">
        <v>118</v>
      </c>
      <c r="H582" s="874"/>
      <c r="I582" s="813" t="s">
        <v>119</v>
      </c>
      <c r="J582" s="813"/>
      <c r="K582" s="867" t="s">
        <v>120</v>
      </c>
    </row>
    <row r="583" spans="1:11" ht="25.5" x14ac:dyDescent="0.2">
      <c r="A583" s="826"/>
      <c r="B583" s="872"/>
      <c r="C583" s="872"/>
      <c r="D583" s="872"/>
      <c r="E583" s="827"/>
      <c r="F583" s="290"/>
      <c r="G583" s="290" t="s">
        <v>121</v>
      </c>
      <c r="H583" s="381" t="s">
        <v>122</v>
      </c>
      <c r="I583" s="290" t="s">
        <v>123</v>
      </c>
      <c r="J583" s="290" t="s">
        <v>122</v>
      </c>
      <c r="K583" s="868"/>
    </row>
    <row r="584" spans="1:11" s="299" customFormat="1" x14ac:dyDescent="0.25">
      <c r="A584" s="291"/>
      <c r="B584" s="292"/>
      <c r="C584" s="292"/>
      <c r="D584" s="292"/>
      <c r="E584" s="293"/>
      <c r="F584" s="294"/>
      <c r="G584" s="295"/>
      <c r="H584" s="296"/>
      <c r="I584" s="602"/>
      <c r="J584" s="297"/>
      <c r="K584" s="298"/>
    </row>
    <row r="585" spans="1:11" s="299" customFormat="1" x14ac:dyDescent="0.25">
      <c r="A585" s="300"/>
      <c r="B585" s="301"/>
      <c r="C585" s="301"/>
      <c r="D585" s="301"/>
      <c r="E585" s="302"/>
      <c r="F585" s="303"/>
      <c r="G585" s="304"/>
      <c r="H585" s="305"/>
      <c r="I585" s="600"/>
      <c r="J585" s="306"/>
      <c r="K585" s="307"/>
    </row>
    <row r="586" spans="1:11" s="299" customFormat="1" x14ac:dyDescent="0.25">
      <c r="A586" s="300"/>
      <c r="B586" s="301"/>
      <c r="C586" s="301"/>
      <c r="D586" s="301"/>
      <c r="E586" s="302"/>
      <c r="F586" s="303"/>
      <c r="G586" s="304"/>
      <c r="H586" s="305"/>
      <c r="I586" s="600"/>
      <c r="J586" s="306"/>
      <c r="K586" s="307"/>
    </row>
    <row r="587" spans="1:11" s="299" customFormat="1" x14ac:dyDescent="0.25">
      <c r="A587" s="300"/>
      <c r="B587" s="301"/>
      <c r="C587" s="301"/>
      <c r="D587" s="301"/>
      <c r="E587" s="302"/>
      <c r="F587" s="303"/>
      <c r="G587" s="304"/>
      <c r="H587" s="305"/>
      <c r="I587" s="600"/>
      <c r="J587" s="306"/>
      <c r="K587" s="307"/>
    </row>
    <row r="588" spans="1:11" s="299" customFormat="1" x14ac:dyDescent="0.25">
      <c r="A588" s="300"/>
      <c r="B588" s="301"/>
      <c r="C588" s="301"/>
      <c r="D588" s="301"/>
      <c r="E588" s="302"/>
      <c r="F588" s="303"/>
      <c r="G588" s="304"/>
      <c r="H588" s="305"/>
      <c r="I588" s="600"/>
      <c r="J588" s="306"/>
      <c r="K588" s="307"/>
    </row>
    <row r="589" spans="1:11" s="299" customFormat="1" x14ac:dyDescent="0.25">
      <c r="A589" s="300"/>
      <c r="B589" s="301"/>
      <c r="C589" s="301"/>
      <c r="D589" s="301"/>
      <c r="E589" s="302"/>
      <c r="F589" s="303"/>
      <c r="G589" s="304"/>
      <c r="H589" s="305"/>
      <c r="I589" s="600"/>
      <c r="J589" s="306"/>
      <c r="K589" s="307"/>
    </row>
    <row r="590" spans="1:11" s="299" customFormat="1" x14ac:dyDescent="0.25">
      <c r="A590" s="300"/>
      <c r="B590" s="301"/>
      <c r="C590" s="301"/>
      <c r="D590" s="301"/>
      <c r="E590" s="302"/>
      <c r="F590" s="303"/>
      <c r="G590" s="304"/>
      <c r="H590" s="305"/>
      <c r="I590" s="600"/>
      <c r="J590" s="306"/>
      <c r="K590" s="307"/>
    </row>
    <row r="591" spans="1:11" s="299" customFormat="1" x14ac:dyDescent="0.25">
      <c r="A591" s="308"/>
      <c r="B591" s="309"/>
      <c r="C591" s="309"/>
      <c r="D591" s="309"/>
      <c r="E591" s="310"/>
      <c r="F591" s="311"/>
      <c r="G591" s="312"/>
      <c r="H591" s="313"/>
      <c r="I591" s="611"/>
      <c r="J591" s="314"/>
      <c r="K591" s="315"/>
    </row>
    <row r="592" spans="1:11" x14ac:dyDescent="0.2">
      <c r="A592" s="861" t="s">
        <v>124</v>
      </c>
      <c r="B592" s="862"/>
      <c r="C592" s="862"/>
      <c r="D592" s="862"/>
      <c r="E592" s="862"/>
      <c r="F592" s="837"/>
      <c r="G592" s="837"/>
      <c r="H592" s="837"/>
      <c r="I592" s="837"/>
      <c r="J592" s="838"/>
      <c r="K592" s="316"/>
    </row>
    <row r="593" spans="1:11" ht="15.75" customHeight="1" x14ac:dyDescent="0.2">
      <c r="A593" s="822" t="s">
        <v>125</v>
      </c>
      <c r="B593" s="839"/>
      <c r="C593" s="839"/>
      <c r="D593" s="839"/>
      <c r="E593" s="839"/>
      <c r="F593" s="317"/>
      <c r="G593" s="317"/>
      <c r="H593" s="863" t="s">
        <v>54</v>
      </c>
      <c r="I593" s="865" t="s">
        <v>126</v>
      </c>
      <c r="J593" s="867" t="s">
        <v>127</v>
      </c>
      <c r="K593" s="867" t="s">
        <v>120</v>
      </c>
    </row>
    <row r="594" spans="1:11" ht="21.75" customHeight="1" x14ac:dyDescent="0.25">
      <c r="A594" s="824"/>
      <c r="B594" s="840"/>
      <c r="C594" s="840"/>
      <c r="D594" s="840"/>
      <c r="E594" s="840"/>
      <c r="F594" s="318"/>
      <c r="G594" s="269"/>
      <c r="H594" s="864"/>
      <c r="I594" s="866"/>
      <c r="J594" s="868"/>
      <c r="K594" s="868"/>
    </row>
    <row r="595" spans="1:11" x14ac:dyDescent="0.2">
      <c r="A595" s="319"/>
      <c r="B595" s="859"/>
      <c r="C595" s="859"/>
      <c r="D595" s="859"/>
      <c r="E595" s="859"/>
      <c r="F595" s="859"/>
      <c r="G595" s="860"/>
      <c r="H595" s="320"/>
      <c r="I595" s="609"/>
      <c r="J595" s="321"/>
      <c r="K595" s="322"/>
    </row>
    <row r="596" spans="1:11" x14ac:dyDescent="0.2">
      <c r="A596" s="323"/>
      <c r="B596" s="849"/>
      <c r="C596" s="849"/>
      <c r="D596" s="849"/>
      <c r="E596" s="849"/>
      <c r="F596" s="849"/>
      <c r="G596" s="850"/>
      <c r="H596" s="320"/>
      <c r="I596" s="609"/>
      <c r="J596" s="306"/>
      <c r="K596" s="306"/>
    </row>
    <row r="597" spans="1:11" x14ac:dyDescent="0.2">
      <c r="A597" s="323"/>
      <c r="B597" s="849"/>
      <c r="C597" s="849"/>
      <c r="D597" s="849"/>
      <c r="E597" s="849"/>
      <c r="F597" s="849"/>
      <c r="G597" s="850"/>
      <c r="H597" s="320"/>
      <c r="I597" s="609"/>
      <c r="J597" s="306"/>
      <c r="K597" s="306"/>
    </row>
    <row r="598" spans="1:11" x14ac:dyDescent="0.2">
      <c r="A598" s="323"/>
      <c r="B598" s="849"/>
      <c r="C598" s="849"/>
      <c r="D598" s="849"/>
      <c r="E598" s="849"/>
      <c r="F598" s="849"/>
      <c r="G598" s="850"/>
      <c r="H598" s="320"/>
      <c r="I598" s="609"/>
      <c r="J598" s="306"/>
      <c r="K598" s="306"/>
    </row>
    <row r="599" spans="1:11" x14ac:dyDescent="0.2">
      <c r="A599" s="323"/>
      <c r="B599" s="849"/>
      <c r="C599" s="849"/>
      <c r="D599" s="849"/>
      <c r="E599" s="849"/>
      <c r="F599" s="849"/>
      <c r="G599" s="850"/>
      <c r="H599" s="320"/>
      <c r="I599" s="609"/>
      <c r="J599" s="306"/>
      <c r="K599" s="306"/>
    </row>
    <row r="600" spans="1:11" x14ac:dyDescent="0.2">
      <c r="A600" s="323"/>
      <c r="B600" s="849"/>
      <c r="C600" s="849"/>
      <c r="D600" s="849"/>
      <c r="E600" s="849"/>
      <c r="F600" s="849"/>
      <c r="G600" s="850"/>
      <c r="H600" s="320"/>
      <c r="I600" s="609"/>
      <c r="J600" s="306"/>
      <c r="K600" s="306"/>
    </row>
    <row r="601" spans="1:11" x14ac:dyDescent="0.2">
      <c r="A601" s="323"/>
      <c r="B601" s="849"/>
      <c r="C601" s="849"/>
      <c r="D601" s="849"/>
      <c r="E601" s="849"/>
      <c r="F601" s="849"/>
      <c r="G601" s="850"/>
      <c r="H601" s="320"/>
      <c r="I601" s="609"/>
      <c r="J601" s="306"/>
      <c r="K601" s="306"/>
    </row>
    <row r="602" spans="1:11" x14ac:dyDescent="0.2">
      <c r="A602" s="324"/>
      <c r="B602" s="851"/>
      <c r="C602" s="851"/>
      <c r="D602" s="851"/>
      <c r="E602" s="851"/>
      <c r="F602" s="851"/>
      <c r="G602" s="852"/>
      <c r="H602" s="325"/>
      <c r="I602" s="608"/>
      <c r="J602" s="314"/>
      <c r="K602" s="314"/>
    </row>
    <row r="603" spans="1:11" ht="15" x14ac:dyDescent="0.25">
      <c r="A603" s="326"/>
      <c r="C603" s="270"/>
      <c r="D603" s="836" t="s">
        <v>131</v>
      </c>
      <c r="E603" s="837"/>
      <c r="F603" s="837"/>
      <c r="G603" s="837"/>
      <c r="H603" s="837"/>
      <c r="I603" s="837"/>
      <c r="J603" s="838"/>
      <c r="K603" s="328"/>
    </row>
    <row r="604" spans="1:11" x14ac:dyDescent="0.2">
      <c r="A604" s="326" t="s">
        <v>132</v>
      </c>
      <c r="B604" s="329"/>
      <c r="C604" s="330">
        <v>1</v>
      </c>
      <c r="D604" s="853" t="s">
        <v>133</v>
      </c>
      <c r="E604" s="854"/>
      <c r="F604" s="854"/>
      <c r="G604" s="854"/>
      <c r="H604" s="854"/>
      <c r="I604" s="854"/>
      <c r="J604" s="855"/>
      <c r="K604" s="328"/>
    </row>
    <row r="605" spans="1:11" x14ac:dyDescent="0.2">
      <c r="A605" s="331"/>
      <c r="B605" s="329"/>
      <c r="C605" s="332"/>
      <c r="D605" s="856" t="s">
        <v>134</v>
      </c>
      <c r="E605" s="856"/>
      <c r="F605" s="857"/>
      <c r="G605" s="857"/>
      <c r="H605" s="857"/>
      <c r="I605" s="857"/>
      <c r="J605" s="858"/>
      <c r="K605" s="328"/>
    </row>
    <row r="606" spans="1:11" x14ac:dyDescent="0.2">
      <c r="A606" s="822" t="s">
        <v>137</v>
      </c>
      <c r="B606" s="839"/>
      <c r="C606" s="839"/>
      <c r="D606" s="839"/>
      <c r="E606" s="839"/>
      <c r="F606" s="841"/>
      <c r="G606" s="843" t="s">
        <v>42</v>
      </c>
      <c r="H606" s="844"/>
      <c r="I606" s="831" t="s">
        <v>126</v>
      </c>
      <c r="J606" s="830" t="s">
        <v>138</v>
      </c>
      <c r="K606" s="830" t="s">
        <v>139</v>
      </c>
    </row>
    <row r="607" spans="1:11" x14ac:dyDescent="0.2">
      <c r="A607" s="824"/>
      <c r="B607" s="840"/>
      <c r="C607" s="840"/>
      <c r="D607" s="840"/>
      <c r="E607" s="840"/>
      <c r="F607" s="842"/>
      <c r="G607" s="845"/>
      <c r="H607" s="846"/>
      <c r="I607" s="831"/>
      <c r="J607" s="830"/>
      <c r="K607" s="831"/>
    </row>
    <row r="608" spans="1:11" x14ac:dyDescent="0.2">
      <c r="A608" s="323"/>
      <c r="B608" s="301"/>
      <c r="C608" s="301"/>
      <c r="D608" s="301"/>
      <c r="E608" s="301"/>
      <c r="F608" s="293"/>
      <c r="G608" s="847"/>
      <c r="H608" s="848"/>
      <c r="I608" s="599"/>
      <c r="J608" s="335"/>
      <c r="K608" s="336"/>
    </row>
    <row r="609" spans="1:11" x14ac:dyDescent="0.2">
      <c r="A609" s="323"/>
      <c r="B609" s="301"/>
      <c r="C609" s="301"/>
      <c r="D609" s="301"/>
      <c r="E609" s="301"/>
      <c r="F609" s="302"/>
      <c r="G609" s="832"/>
      <c r="H609" s="833"/>
      <c r="I609" s="606"/>
      <c r="J609" s="337"/>
      <c r="K609" s="306"/>
    </row>
    <row r="610" spans="1:11" x14ac:dyDescent="0.2">
      <c r="A610" s="323"/>
      <c r="B610" s="301"/>
      <c r="C610" s="301"/>
      <c r="D610" s="301"/>
      <c r="E610" s="301"/>
      <c r="F610" s="302"/>
      <c r="G610" s="832"/>
      <c r="H610" s="833"/>
      <c r="I610" s="606"/>
      <c r="J610" s="337"/>
      <c r="K610" s="306"/>
    </row>
    <row r="611" spans="1:11" x14ac:dyDescent="0.2">
      <c r="A611" s="323"/>
      <c r="B611" s="301"/>
      <c r="C611" s="301"/>
      <c r="D611" s="301"/>
      <c r="E611" s="301"/>
      <c r="F611" s="302"/>
      <c r="G611" s="832"/>
      <c r="H611" s="833"/>
      <c r="I611" s="606"/>
      <c r="J611" s="337"/>
      <c r="K611" s="306"/>
    </row>
    <row r="612" spans="1:11" x14ac:dyDescent="0.2">
      <c r="A612" s="836" t="s">
        <v>140</v>
      </c>
      <c r="B612" s="837"/>
      <c r="C612" s="837"/>
      <c r="D612" s="837"/>
      <c r="E612" s="837"/>
      <c r="F612" s="837"/>
      <c r="G612" s="837"/>
      <c r="H612" s="837"/>
      <c r="I612" s="837"/>
      <c r="J612" s="838"/>
      <c r="K612" s="338"/>
    </row>
    <row r="613" spans="1:11" x14ac:dyDescent="0.2">
      <c r="A613" s="822" t="s">
        <v>141</v>
      </c>
      <c r="B613" s="839"/>
      <c r="C613" s="839"/>
      <c r="D613" s="839"/>
      <c r="E613" s="839"/>
      <c r="F613" s="841"/>
      <c r="G613" s="843" t="s">
        <v>42</v>
      </c>
      <c r="H613" s="844"/>
      <c r="I613" s="831" t="s">
        <v>126</v>
      </c>
      <c r="J613" s="830" t="s">
        <v>138</v>
      </c>
      <c r="K613" s="830" t="s">
        <v>139</v>
      </c>
    </row>
    <row r="614" spans="1:11" x14ac:dyDescent="0.2">
      <c r="A614" s="824"/>
      <c r="B614" s="840"/>
      <c r="C614" s="840"/>
      <c r="D614" s="840"/>
      <c r="E614" s="840"/>
      <c r="F614" s="842"/>
      <c r="G614" s="845"/>
      <c r="H614" s="846"/>
      <c r="I614" s="831"/>
      <c r="J614" s="830"/>
      <c r="K614" s="831"/>
    </row>
    <row r="615" spans="1:11" x14ac:dyDescent="0.2">
      <c r="A615" s="323"/>
      <c r="B615" s="301"/>
      <c r="C615" s="301"/>
      <c r="D615" s="301"/>
      <c r="E615" s="301"/>
      <c r="F615" s="302"/>
      <c r="G615" s="832"/>
      <c r="H615" s="833"/>
      <c r="I615" s="606"/>
      <c r="J615" s="337"/>
      <c r="K615" s="306"/>
    </row>
    <row r="616" spans="1:11" x14ac:dyDescent="0.2">
      <c r="A616" s="323"/>
      <c r="B616" s="301"/>
      <c r="C616" s="301"/>
      <c r="D616" s="301"/>
      <c r="E616" s="301"/>
      <c r="F616" s="302"/>
      <c r="G616" s="832"/>
      <c r="H616" s="833"/>
      <c r="I616" s="606"/>
      <c r="J616" s="337"/>
      <c r="K616" s="306"/>
    </row>
    <row r="617" spans="1:11" x14ac:dyDescent="0.2">
      <c r="A617" s="323"/>
      <c r="B617" s="301"/>
      <c r="C617" s="301"/>
      <c r="D617" s="301"/>
      <c r="E617" s="301"/>
      <c r="F617" s="302"/>
      <c r="G617" s="832"/>
      <c r="H617" s="833"/>
      <c r="I617" s="606"/>
      <c r="J617" s="337"/>
      <c r="K617" s="306"/>
    </row>
    <row r="618" spans="1:11" x14ac:dyDescent="0.2">
      <c r="A618" s="324"/>
      <c r="B618" s="309"/>
      <c r="C618" s="309"/>
      <c r="D618" s="309"/>
      <c r="E618" s="309"/>
      <c r="F618" s="310"/>
      <c r="G618" s="834"/>
      <c r="H618" s="835"/>
      <c r="I618" s="605"/>
      <c r="J618" s="339"/>
      <c r="K618" s="314"/>
    </row>
    <row r="619" spans="1:11" x14ac:dyDescent="0.2">
      <c r="A619" s="836" t="s">
        <v>142</v>
      </c>
      <c r="B619" s="837"/>
      <c r="C619" s="837"/>
      <c r="D619" s="837"/>
      <c r="E619" s="837"/>
      <c r="F619" s="837"/>
      <c r="G619" s="837"/>
      <c r="H619" s="837"/>
      <c r="I619" s="837"/>
      <c r="J619" s="838"/>
      <c r="K619" s="338"/>
    </row>
    <row r="620" spans="1:11" x14ac:dyDescent="0.2">
      <c r="A620" s="822" t="s">
        <v>143</v>
      </c>
      <c r="B620" s="839"/>
      <c r="C620" s="839"/>
      <c r="D620" s="839"/>
      <c r="E620" s="839"/>
      <c r="F620" s="841"/>
      <c r="G620" s="843" t="s">
        <v>42</v>
      </c>
      <c r="H620" s="844"/>
      <c r="I620" s="831" t="s">
        <v>126</v>
      </c>
      <c r="J620" s="830" t="s">
        <v>138</v>
      </c>
      <c r="K620" s="830" t="s">
        <v>139</v>
      </c>
    </row>
    <row r="621" spans="1:11" x14ac:dyDescent="0.2">
      <c r="A621" s="824"/>
      <c r="B621" s="840"/>
      <c r="C621" s="840"/>
      <c r="D621" s="840"/>
      <c r="E621" s="840"/>
      <c r="F621" s="842"/>
      <c r="G621" s="845"/>
      <c r="H621" s="846"/>
      <c r="I621" s="831"/>
      <c r="J621" s="830"/>
      <c r="K621" s="831"/>
    </row>
    <row r="622" spans="1:11" x14ac:dyDescent="0.2">
      <c r="A622" s="323" t="s">
        <v>380</v>
      </c>
      <c r="B622" s="301" t="s">
        <v>379</v>
      </c>
      <c r="C622" s="301"/>
      <c r="D622" s="301"/>
      <c r="E622" s="301"/>
      <c r="F622" s="302"/>
      <c r="G622" s="832">
        <v>1</v>
      </c>
      <c r="H622" s="833"/>
      <c r="I622" s="606" t="s">
        <v>345</v>
      </c>
      <c r="J622" s="362">
        <v>113.74</v>
      </c>
      <c r="K622" s="322">
        <f>ROUND((G622*J622),4)</f>
        <v>113.74</v>
      </c>
    </row>
    <row r="623" spans="1:11" x14ac:dyDescent="0.2">
      <c r="A623" s="323"/>
      <c r="B623" s="301"/>
      <c r="C623" s="301"/>
      <c r="D623" s="301"/>
      <c r="E623" s="301"/>
      <c r="F623" s="302"/>
      <c r="G623" s="832"/>
      <c r="H623" s="833"/>
      <c r="I623" s="606"/>
      <c r="J623" s="337"/>
      <c r="K623" s="306"/>
    </row>
    <row r="624" spans="1:11" x14ac:dyDescent="0.2">
      <c r="A624" s="323"/>
      <c r="B624" s="301"/>
      <c r="C624" s="301"/>
      <c r="D624" s="301"/>
      <c r="E624" s="301"/>
      <c r="F624" s="302"/>
      <c r="G624" s="832"/>
      <c r="H624" s="833"/>
      <c r="I624" s="606"/>
      <c r="J624" s="337"/>
      <c r="K624" s="306"/>
    </row>
    <row r="625" spans="1:11" x14ac:dyDescent="0.2">
      <c r="A625" s="324"/>
      <c r="B625" s="309"/>
      <c r="C625" s="309"/>
      <c r="D625" s="309"/>
      <c r="E625" s="309"/>
      <c r="F625" s="310"/>
      <c r="G625" s="834"/>
      <c r="H625" s="835"/>
      <c r="I625" s="605"/>
      <c r="J625" s="339"/>
      <c r="K625" s="314"/>
    </row>
    <row r="626" spans="1:11" x14ac:dyDescent="0.2">
      <c r="A626" s="836" t="s">
        <v>144</v>
      </c>
      <c r="B626" s="837"/>
      <c r="C626" s="837"/>
      <c r="D626" s="837"/>
      <c r="E626" s="837"/>
      <c r="F626" s="837"/>
      <c r="G626" s="837"/>
      <c r="H626" s="837"/>
      <c r="I626" s="837"/>
      <c r="J626" s="838"/>
      <c r="K626" s="328">
        <f>SUM(K622:K625)</f>
        <v>113.74</v>
      </c>
    </row>
    <row r="627" spans="1:11" x14ac:dyDescent="0.2">
      <c r="A627" s="822" t="s">
        <v>145</v>
      </c>
      <c r="B627" s="823"/>
      <c r="C627" s="820" t="s">
        <v>146</v>
      </c>
      <c r="D627" s="340" t="s">
        <v>147</v>
      </c>
      <c r="E627" s="818" t="s">
        <v>148</v>
      </c>
      <c r="F627" s="818"/>
      <c r="G627" s="819"/>
      <c r="H627" s="814" t="s">
        <v>149</v>
      </c>
      <c r="I627" s="815"/>
      <c r="J627" s="816"/>
      <c r="K627" s="812" t="s">
        <v>150</v>
      </c>
    </row>
    <row r="628" spans="1:11" x14ac:dyDescent="0.2">
      <c r="A628" s="826"/>
      <c r="B628" s="827"/>
      <c r="C628" s="821"/>
      <c r="D628" s="341"/>
      <c r="E628" s="378" t="s">
        <v>151</v>
      </c>
      <c r="F628" s="342" t="s">
        <v>152</v>
      </c>
      <c r="G628" s="343" t="s">
        <v>153</v>
      </c>
      <c r="H628" s="378" t="s">
        <v>151</v>
      </c>
      <c r="I628" s="342" t="s">
        <v>152</v>
      </c>
      <c r="J628" s="342" t="s">
        <v>153</v>
      </c>
      <c r="K628" s="813"/>
    </row>
    <row r="629" spans="1:11" x14ac:dyDescent="0.2">
      <c r="A629" s="319"/>
      <c r="B629" s="293"/>
      <c r="C629" s="344"/>
      <c r="D629" s="345"/>
      <c r="E629" s="346"/>
      <c r="F629" s="347"/>
      <c r="G629" s="348"/>
      <c r="H629" s="379"/>
      <c r="I629" s="613"/>
      <c r="J629" s="349"/>
      <c r="K629" s="336"/>
    </row>
    <row r="630" spans="1:11" x14ac:dyDescent="0.2">
      <c r="A630" s="323"/>
      <c r="B630" s="301"/>
      <c r="C630" s="344"/>
      <c r="D630" s="350"/>
      <c r="E630" s="351"/>
      <c r="F630" s="352"/>
      <c r="G630" s="353"/>
      <c r="H630" s="379"/>
      <c r="I630" s="613"/>
      <c r="J630" s="349"/>
      <c r="K630" s="306"/>
    </row>
    <row r="631" spans="1:11" x14ac:dyDescent="0.2">
      <c r="A631" s="323"/>
      <c r="B631" s="301"/>
      <c r="C631" s="344"/>
      <c r="D631" s="350"/>
      <c r="E631" s="351"/>
      <c r="F631" s="352"/>
      <c r="G631" s="353"/>
      <c r="H631" s="379"/>
      <c r="I631" s="613"/>
      <c r="J631" s="349"/>
      <c r="K631" s="306"/>
    </row>
    <row r="632" spans="1:11" x14ac:dyDescent="0.2">
      <c r="A632" s="324"/>
      <c r="B632" s="309"/>
      <c r="C632" s="354"/>
      <c r="D632" s="355"/>
      <c r="E632" s="356"/>
      <c r="F632" s="357"/>
      <c r="G632" s="358"/>
      <c r="H632" s="379"/>
      <c r="I632" s="613"/>
      <c r="J632" s="349"/>
      <c r="K632" s="314"/>
    </row>
    <row r="633" spans="1:11" x14ac:dyDescent="0.2">
      <c r="A633" s="828" t="s">
        <v>154</v>
      </c>
      <c r="B633" s="808"/>
      <c r="C633" s="808"/>
      <c r="D633" s="829"/>
      <c r="E633" s="808"/>
      <c r="F633" s="808"/>
      <c r="G633" s="808"/>
      <c r="H633" s="808"/>
      <c r="I633" s="808"/>
      <c r="J633" s="809"/>
      <c r="K633" s="338"/>
    </row>
    <row r="634" spans="1:11" x14ac:dyDescent="0.2">
      <c r="A634" s="807" t="s">
        <v>155</v>
      </c>
      <c r="B634" s="808"/>
      <c r="C634" s="808"/>
      <c r="D634" s="808"/>
      <c r="E634" s="808"/>
      <c r="F634" s="808"/>
      <c r="G634" s="808"/>
      <c r="H634" s="808"/>
      <c r="I634" s="808"/>
      <c r="J634" s="809"/>
      <c r="K634" s="359">
        <f>ROUND((K626),2)</f>
        <v>113.74</v>
      </c>
    </row>
    <row r="635" spans="1:11" x14ac:dyDescent="0.2">
      <c r="A635" s="807" t="s">
        <v>23</v>
      </c>
      <c r="B635" s="808"/>
      <c r="C635" s="808"/>
      <c r="D635" s="808"/>
      <c r="E635" s="808"/>
      <c r="F635" s="808"/>
      <c r="G635" s="808"/>
      <c r="H635" s="808"/>
      <c r="I635" s="808"/>
      <c r="J635" s="809"/>
      <c r="K635" s="359">
        <f>ROUND((K634*  10.37/100),4)</f>
        <v>11.7948</v>
      </c>
    </row>
    <row r="636" spans="1:11" x14ac:dyDescent="0.2">
      <c r="A636" s="807" t="s">
        <v>156</v>
      </c>
      <c r="B636" s="808"/>
      <c r="C636" s="808"/>
      <c r="D636" s="808"/>
      <c r="E636" s="808"/>
      <c r="F636" s="808"/>
      <c r="G636" s="808"/>
      <c r="H636" s="808"/>
      <c r="I636" s="808"/>
      <c r="J636" s="809"/>
      <c r="K636" s="359">
        <f>K634+K635</f>
        <v>125.53479999999999</v>
      </c>
    </row>
    <row r="639" spans="1:11" ht="56.25" customHeight="1" x14ac:dyDescent="0.2">
      <c r="A639" s="804" t="s">
        <v>110</v>
      </c>
      <c r="B639" s="805"/>
      <c r="C639" s="805"/>
      <c r="D639" s="805"/>
      <c r="E639" s="805"/>
      <c r="F639" s="805"/>
      <c r="G639" s="805"/>
      <c r="H639" s="805"/>
      <c r="I639" s="805"/>
      <c r="J639" s="805"/>
      <c r="K639" s="806"/>
    </row>
    <row r="640" spans="1:11" ht="18" customHeight="1" x14ac:dyDescent="0.2">
      <c r="A640" s="275" t="s">
        <v>111</v>
      </c>
      <c r="B640" s="276"/>
      <c r="C640" s="802"/>
      <c r="D640" s="802"/>
      <c r="E640" s="802"/>
      <c r="F640" s="802"/>
      <c r="G640" s="802"/>
      <c r="H640" s="802"/>
      <c r="I640" s="802"/>
      <c r="J640" s="802"/>
      <c r="K640" s="803"/>
    </row>
    <row r="641" spans="1:11" ht="18" customHeight="1" x14ac:dyDescent="0.2">
      <c r="A641" s="275" t="s">
        <v>315</v>
      </c>
      <c r="B641" s="276"/>
      <c r="C641" s="277" t="s">
        <v>66</v>
      </c>
      <c r="E641" s="810" t="s">
        <v>316</v>
      </c>
      <c r="F641" s="810"/>
      <c r="G641" s="810"/>
      <c r="H641" s="279"/>
      <c r="I641" s="604" t="s">
        <v>112</v>
      </c>
      <c r="J641" s="810" t="s">
        <v>113</v>
      </c>
      <c r="K641" s="811"/>
    </row>
    <row r="642" spans="1:11" x14ac:dyDescent="0.2">
      <c r="A642" s="280" t="s">
        <v>114</v>
      </c>
      <c r="B642" s="281" t="s">
        <v>381</v>
      </c>
      <c r="C642" s="282"/>
      <c r="D642" s="282"/>
      <c r="E642" s="282"/>
      <c r="F642" s="282"/>
      <c r="G642" s="282"/>
      <c r="H642" s="282"/>
      <c r="I642" s="282"/>
      <c r="J642" s="282"/>
      <c r="K642" s="283"/>
    </row>
    <row r="643" spans="1:11" x14ac:dyDescent="0.2">
      <c r="A643" s="284" t="s">
        <v>115</v>
      </c>
      <c r="B643" s="285"/>
      <c r="D643" s="286"/>
      <c r="E643" s="286"/>
      <c r="F643" s="286"/>
      <c r="G643" s="286"/>
      <c r="H643" s="286"/>
      <c r="I643" s="603"/>
      <c r="J643" s="287" t="s">
        <v>52</v>
      </c>
      <c r="K643" s="288" t="s">
        <v>318</v>
      </c>
    </row>
    <row r="644" spans="1:11" ht="23.25" customHeight="1" x14ac:dyDescent="0.2">
      <c r="A644" s="869" t="s">
        <v>382</v>
      </c>
      <c r="B644" s="870"/>
      <c r="C644" s="870"/>
      <c r="D644" s="870"/>
      <c r="E644" s="870"/>
      <c r="F644" s="870"/>
      <c r="G644" s="870"/>
      <c r="H644" s="870"/>
      <c r="I644" s="871"/>
      <c r="J644" s="289" t="s">
        <v>116</v>
      </c>
      <c r="K644" s="288" t="s">
        <v>383</v>
      </c>
    </row>
    <row r="645" spans="1:11" x14ac:dyDescent="0.2">
      <c r="A645" s="826" t="s">
        <v>117</v>
      </c>
      <c r="B645" s="872"/>
      <c r="C645" s="839"/>
      <c r="D645" s="839"/>
      <c r="E645" s="823"/>
      <c r="F645" s="290" t="s">
        <v>54</v>
      </c>
      <c r="G645" s="873" t="s">
        <v>118</v>
      </c>
      <c r="H645" s="874"/>
      <c r="I645" s="813" t="s">
        <v>119</v>
      </c>
      <c r="J645" s="813"/>
      <c r="K645" s="867" t="s">
        <v>120</v>
      </c>
    </row>
    <row r="646" spans="1:11" ht="25.5" x14ac:dyDescent="0.2">
      <c r="A646" s="826"/>
      <c r="B646" s="872"/>
      <c r="C646" s="872"/>
      <c r="D646" s="872"/>
      <c r="E646" s="827"/>
      <c r="F646" s="290"/>
      <c r="G646" s="290" t="s">
        <v>121</v>
      </c>
      <c r="H646" s="381" t="s">
        <v>122</v>
      </c>
      <c r="I646" s="290" t="s">
        <v>123</v>
      </c>
      <c r="J646" s="290" t="s">
        <v>122</v>
      </c>
      <c r="K646" s="868"/>
    </row>
    <row r="647" spans="1:11" s="299" customFormat="1" x14ac:dyDescent="0.25">
      <c r="A647" s="291" t="s">
        <v>320</v>
      </c>
      <c r="B647" s="292" t="s">
        <v>321</v>
      </c>
      <c r="C647" s="292"/>
      <c r="D647" s="292"/>
      <c r="E647" s="293"/>
      <c r="F647" s="294">
        <v>1</v>
      </c>
      <c r="G647" s="295">
        <v>1</v>
      </c>
      <c r="H647" s="296">
        <v>0</v>
      </c>
      <c r="I647" s="602">
        <v>6.3136000000000001</v>
      </c>
      <c r="J647" s="297">
        <v>0.41539999999999999</v>
      </c>
      <c r="K647" s="298">
        <f>ROUND((ROUND((G647*I647+H647*J647),4)*F647),4)</f>
        <v>6.3136000000000001</v>
      </c>
    </row>
    <row r="648" spans="1:11" s="299" customFormat="1" x14ac:dyDescent="0.25">
      <c r="A648" s="300" t="s">
        <v>384</v>
      </c>
      <c r="B648" s="301" t="s">
        <v>385</v>
      </c>
      <c r="C648" s="301"/>
      <c r="D648" s="301"/>
      <c r="E648" s="302"/>
      <c r="F648" s="303">
        <v>1</v>
      </c>
      <c r="G648" s="372">
        <v>0.05</v>
      </c>
      <c r="H648" s="373">
        <v>0.95</v>
      </c>
      <c r="I648" s="601">
        <v>341.02019999999999</v>
      </c>
      <c r="J648" s="321">
        <v>75.331199999999995</v>
      </c>
      <c r="K648" s="374">
        <f>ROUND((ROUND((G648*I648+H648*J648),4)*F648),4)</f>
        <v>88.615700000000004</v>
      </c>
    </row>
    <row r="649" spans="1:11" s="299" customFormat="1" x14ac:dyDescent="0.25">
      <c r="A649" s="300" t="s">
        <v>386</v>
      </c>
      <c r="B649" s="301" t="s">
        <v>387</v>
      </c>
      <c r="C649" s="301"/>
      <c r="D649" s="301"/>
      <c r="E649" s="302"/>
      <c r="F649" s="303">
        <v>1</v>
      </c>
      <c r="G649" s="372">
        <v>1</v>
      </c>
      <c r="H649" s="373">
        <v>0</v>
      </c>
      <c r="I649" s="601">
        <v>1397.4058</v>
      </c>
      <c r="J649" s="321">
        <v>472.25749999999999</v>
      </c>
      <c r="K649" s="374">
        <f>ROUND((ROUND((G649*I649+H649*J649),4)*F649),4)</f>
        <v>1397.4058</v>
      </c>
    </row>
    <row r="650" spans="1:11" s="299" customFormat="1" ht="22.5" x14ac:dyDescent="0.25">
      <c r="A650" s="300" t="s">
        <v>322</v>
      </c>
      <c r="B650" s="301" t="s">
        <v>323</v>
      </c>
      <c r="C650" s="301"/>
      <c r="D650" s="301"/>
      <c r="E650" s="302"/>
      <c r="F650" s="303">
        <v>1</v>
      </c>
      <c r="G650" s="372">
        <v>0.16</v>
      </c>
      <c r="H650" s="373">
        <v>0.84</v>
      </c>
      <c r="I650" s="601">
        <v>143.07910000000001</v>
      </c>
      <c r="J650" s="321">
        <v>53.110900000000001</v>
      </c>
      <c r="K650" s="374">
        <f>ROUND((ROUND((G650*I650+H650*J650),4)*F650),4)</f>
        <v>67.505799999999994</v>
      </c>
    </row>
    <row r="651" spans="1:11" s="299" customFormat="1" x14ac:dyDescent="0.25">
      <c r="A651" s="300"/>
      <c r="B651" s="301"/>
      <c r="C651" s="301"/>
      <c r="D651" s="301"/>
      <c r="E651" s="302"/>
      <c r="F651" s="303"/>
      <c r="G651" s="304"/>
      <c r="H651" s="305"/>
      <c r="I651" s="600"/>
      <c r="J651" s="306"/>
      <c r="K651" s="307"/>
    </row>
    <row r="652" spans="1:11" s="299" customFormat="1" x14ac:dyDescent="0.25">
      <c r="A652" s="300"/>
      <c r="B652" s="301"/>
      <c r="C652" s="301"/>
      <c r="D652" s="301"/>
      <c r="E652" s="302"/>
      <c r="F652" s="303"/>
      <c r="G652" s="304"/>
      <c r="H652" s="305"/>
      <c r="I652" s="600"/>
      <c r="J652" s="306"/>
      <c r="K652" s="307"/>
    </row>
    <row r="653" spans="1:11" s="299" customFormat="1" x14ac:dyDescent="0.25">
      <c r="A653" s="300"/>
      <c r="B653" s="301"/>
      <c r="C653" s="301"/>
      <c r="D653" s="301"/>
      <c r="E653" s="302"/>
      <c r="F653" s="303"/>
      <c r="G653" s="304"/>
      <c r="H653" s="305"/>
      <c r="I653" s="600"/>
      <c r="J653" s="306"/>
      <c r="K653" s="307"/>
    </row>
    <row r="654" spans="1:11" s="299" customFormat="1" x14ac:dyDescent="0.25">
      <c r="A654" s="308"/>
      <c r="B654" s="309"/>
      <c r="C654" s="309"/>
      <c r="D654" s="309"/>
      <c r="E654" s="310"/>
      <c r="F654" s="311"/>
      <c r="G654" s="312"/>
      <c r="H654" s="313"/>
      <c r="I654" s="611"/>
      <c r="J654" s="314"/>
      <c r="K654" s="315"/>
    </row>
    <row r="655" spans="1:11" x14ac:dyDescent="0.2">
      <c r="A655" s="861" t="s">
        <v>124</v>
      </c>
      <c r="B655" s="862"/>
      <c r="C655" s="862"/>
      <c r="D655" s="862"/>
      <c r="E655" s="862"/>
      <c r="F655" s="837"/>
      <c r="G655" s="837"/>
      <c r="H655" s="837"/>
      <c r="I655" s="837"/>
      <c r="J655" s="838"/>
      <c r="K655" s="316">
        <f>SUM(K647:K654)</f>
        <v>1559.8408999999999</v>
      </c>
    </row>
    <row r="656" spans="1:11" ht="15.75" customHeight="1" x14ac:dyDescent="0.2">
      <c r="A656" s="822" t="s">
        <v>125</v>
      </c>
      <c r="B656" s="839"/>
      <c r="C656" s="839"/>
      <c r="D656" s="839"/>
      <c r="E656" s="839"/>
      <c r="F656" s="317"/>
      <c r="G656" s="317"/>
      <c r="H656" s="863" t="s">
        <v>54</v>
      </c>
      <c r="I656" s="865" t="s">
        <v>126</v>
      </c>
      <c r="J656" s="867" t="s">
        <v>127</v>
      </c>
      <c r="K656" s="867" t="s">
        <v>120</v>
      </c>
    </row>
    <row r="657" spans="1:11" ht="21.75" customHeight="1" x14ac:dyDescent="0.25">
      <c r="A657" s="824"/>
      <c r="B657" s="840"/>
      <c r="C657" s="840"/>
      <c r="D657" s="840"/>
      <c r="E657" s="840"/>
      <c r="F657" s="318"/>
      <c r="G657" s="269"/>
      <c r="H657" s="864"/>
      <c r="I657" s="866"/>
      <c r="J657" s="868"/>
      <c r="K657" s="868"/>
    </row>
    <row r="658" spans="1:11" x14ac:dyDescent="0.2">
      <c r="A658" s="319" t="s">
        <v>128</v>
      </c>
      <c r="B658" s="859" t="s">
        <v>129</v>
      </c>
      <c r="C658" s="859"/>
      <c r="D658" s="859"/>
      <c r="E658" s="859"/>
      <c r="F658" s="859"/>
      <c r="G658" s="860"/>
      <c r="H658" s="320">
        <v>8</v>
      </c>
      <c r="I658" s="609" t="s">
        <v>130</v>
      </c>
      <c r="J658" s="321">
        <v>18.5961</v>
      </c>
      <c r="K658" s="322">
        <f>ROUND((H658*J658),4)</f>
        <v>148.7688</v>
      </c>
    </row>
    <row r="659" spans="1:11" x14ac:dyDescent="0.2">
      <c r="A659" s="323"/>
      <c r="B659" s="849"/>
      <c r="C659" s="849"/>
      <c r="D659" s="849"/>
      <c r="E659" s="849"/>
      <c r="F659" s="849"/>
      <c r="G659" s="850"/>
      <c r="H659" s="320"/>
      <c r="I659" s="609"/>
      <c r="J659" s="306"/>
      <c r="K659" s="306"/>
    </row>
    <row r="660" spans="1:11" x14ac:dyDescent="0.2">
      <c r="A660" s="323"/>
      <c r="B660" s="849"/>
      <c r="C660" s="849"/>
      <c r="D660" s="849"/>
      <c r="E660" s="849"/>
      <c r="F660" s="849"/>
      <c r="G660" s="850"/>
      <c r="H660" s="320"/>
      <c r="I660" s="609"/>
      <c r="J660" s="306"/>
      <c r="K660" s="306"/>
    </row>
    <row r="661" spans="1:11" x14ac:dyDescent="0.2">
      <c r="A661" s="323"/>
      <c r="B661" s="849"/>
      <c r="C661" s="849"/>
      <c r="D661" s="849"/>
      <c r="E661" s="849"/>
      <c r="F661" s="849"/>
      <c r="G661" s="850"/>
      <c r="H661" s="320"/>
      <c r="I661" s="609"/>
      <c r="J661" s="306"/>
      <c r="K661" s="306"/>
    </row>
    <row r="662" spans="1:11" x14ac:dyDescent="0.2">
      <c r="A662" s="323"/>
      <c r="B662" s="849"/>
      <c r="C662" s="849"/>
      <c r="D662" s="849"/>
      <c r="E662" s="849"/>
      <c r="F662" s="849"/>
      <c r="G662" s="850"/>
      <c r="H662" s="320"/>
      <c r="I662" s="609"/>
      <c r="J662" s="306"/>
      <c r="K662" s="306"/>
    </row>
    <row r="663" spans="1:11" x14ac:dyDescent="0.2">
      <c r="A663" s="323"/>
      <c r="B663" s="849"/>
      <c r="C663" s="849"/>
      <c r="D663" s="849"/>
      <c r="E663" s="849"/>
      <c r="F663" s="849"/>
      <c r="G663" s="850"/>
      <c r="H663" s="320"/>
      <c r="I663" s="609"/>
      <c r="J663" s="306"/>
      <c r="K663" s="306"/>
    </row>
    <row r="664" spans="1:11" x14ac:dyDescent="0.2">
      <c r="A664" s="323"/>
      <c r="B664" s="849"/>
      <c r="C664" s="849"/>
      <c r="D664" s="849"/>
      <c r="E664" s="849"/>
      <c r="F664" s="849"/>
      <c r="G664" s="850"/>
      <c r="H664" s="320"/>
      <c r="I664" s="609"/>
      <c r="J664" s="306"/>
      <c r="K664" s="306"/>
    </row>
    <row r="665" spans="1:11" x14ac:dyDescent="0.2">
      <c r="A665" s="324"/>
      <c r="B665" s="851"/>
      <c r="C665" s="851"/>
      <c r="D665" s="851"/>
      <c r="E665" s="851"/>
      <c r="F665" s="851"/>
      <c r="G665" s="852"/>
      <c r="H665" s="325"/>
      <c r="I665" s="608"/>
      <c r="J665" s="314"/>
      <c r="K665" s="314"/>
    </row>
    <row r="666" spans="1:11" ht="15" x14ac:dyDescent="0.25">
      <c r="A666" s="326"/>
      <c r="C666" s="270"/>
      <c r="D666" s="836" t="s">
        <v>131</v>
      </c>
      <c r="E666" s="837"/>
      <c r="F666" s="837"/>
      <c r="G666" s="837"/>
      <c r="H666" s="837"/>
      <c r="I666" s="837"/>
      <c r="J666" s="838"/>
      <c r="K666" s="328">
        <f>SUM(K658:K665)</f>
        <v>148.7688</v>
      </c>
    </row>
    <row r="667" spans="1:11" x14ac:dyDescent="0.2">
      <c r="A667" s="326" t="s">
        <v>132</v>
      </c>
      <c r="B667" s="329"/>
      <c r="C667" s="330">
        <v>9.84</v>
      </c>
      <c r="D667" s="853" t="s">
        <v>133</v>
      </c>
      <c r="E667" s="854"/>
      <c r="F667" s="854"/>
      <c r="G667" s="854"/>
      <c r="H667" s="854"/>
      <c r="I667" s="854"/>
      <c r="J667" s="855"/>
      <c r="K667" s="328">
        <f>K655+K666</f>
        <v>1708.6097</v>
      </c>
    </row>
    <row r="668" spans="1:11" x14ac:dyDescent="0.2">
      <c r="A668" s="331"/>
      <c r="B668" s="329"/>
      <c r="C668" s="332"/>
      <c r="D668" s="856" t="s">
        <v>134</v>
      </c>
      <c r="E668" s="856"/>
      <c r="F668" s="857"/>
      <c r="G668" s="857"/>
      <c r="H668" s="857"/>
      <c r="I668" s="857"/>
      <c r="J668" s="858"/>
      <c r="K668" s="328">
        <f>ROUND((K667/C667),4)</f>
        <v>173.63919999999999</v>
      </c>
    </row>
    <row r="669" spans="1:11" x14ac:dyDescent="0.2">
      <c r="A669" s="326"/>
      <c r="B669" s="329"/>
      <c r="C669" s="333"/>
      <c r="D669" s="380"/>
      <c r="E669" s="380"/>
      <c r="F669" s="380"/>
      <c r="G669" s="380"/>
      <c r="H669" s="380"/>
      <c r="I669" s="610" t="s">
        <v>135</v>
      </c>
      <c r="J669" s="334" t="s">
        <v>160</v>
      </c>
      <c r="K669" s="328">
        <v>0</v>
      </c>
    </row>
    <row r="670" spans="1:11" x14ac:dyDescent="0.2">
      <c r="A670" s="326"/>
      <c r="B670" s="329"/>
      <c r="C670" s="333"/>
      <c r="D670" s="380"/>
      <c r="E670" s="380"/>
      <c r="F670" s="380"/>
      <c r="G670" s="380"/>
      <c r="H670" s="380"/>
      <c r="I670" s="610" t="s">
        <v>136</v>
      </c>
      <c r="J670" s="334">
        <v>14.23</v>
      </c>
      <c r="K670" s="328">
        <v>28.776399999999999</v>
      </c>
    </row>
    <row r="671" spans="1:11" x14ac:dyDescent="0.2">
      <c r="A671" s="822" t="s">
        <v>137</v>
      </c>
      <c r="B671" s="839"/>
      <c r="C671" s="839"/>
      <c r="D671" s="839"/>
      <c r="E671" s="839"/>
      <c r="F671" s="841"/>
      <c r="G671" s="843" t="s">
        <v>42</v>
      </c>
      <c r="H671" s="844"/>
      <c r="I671" s="831" t="s">
        <v>126</v>
      </c>
      <c r="J671" s="830" t="s">
        <v>138</v>
      </c>
      <c r="K671" s="830" t="s">
        <v>139</v>
      </c>
    </row>
    <row r="672" spans="1:11" x14ac:dyDescent="0.2">
      <c r="A672" s="824"/>
      <c r="B672" s="840"/>
      <c r="C672" s="840"/>
      <c r="D672" s="840"/>
      <c r="E672" s="840"/>
      <c r="F672" s="842"/>
      <c r="G672" s="845"/>
      <c r="H672" s="846"/>
      <c r="I672" s="831"/>
      <c r="J672" s="830"/>
      <c r="K672" s="831"/>
    </row>
    <row r="673" spans="1:11" x14ac:dyDescent="0.2">
      <c r="A673" s="323" t="s">
        <v>388</v>
      </c>
      <c r="B673" s="301" t="s">
        <v>389</v>
      </c>
      <c r="C673" s="301"/>
      <c r="D673" s="301"/>
      <c r="E673" s="301"/>
      <c r="F673" s="293"/>
      <c r="G673" s="847">
        <v>2.6888000000000001</v>
      </c>
      <c r="H673" s="848"/>
      <c r="I673" s="599" t="s">
        <v>157</v>
      </c>
      <c r="J673" s="360">
        <v>39.0242</v>
      </c>
      <c r="K673" s="361">
        <f>ROUND((G673*J673),4)</f>
        <v>104.92829999999999</v>
      </c>
    </row>
    <row r="674" spans="1:11" ht="22.5" x14ac:dyDescent="0.2">
      <c r="A674" s="323" t="s">
        <v>328</v>
      </c>
      <c r="B674" s="301" t="s">
        <v>329</v>
      </c>
      <c r="C674" s="301"/>
      <c r="D674" s="301"/>
      <c r="E674" s="301"/>
      <c r="F674" s="302"/>
      <c r="G674" s="832">
        <v>5.5999999999999999E-3</v>
      </c>
      <c r="H674" s="833"/>
      <c r="I674" s="606" t="s">
        <v>157</v>
      </c>
      <c r="J674" s="362">
        <v>299.45929999999998</v>
      </c>
      <c r="K674" s="322">
        <f>ROUND((G674*J674),4)</f>
        <v>1.677</v>
      </c>
    </row>
    <row r="675" spans="1:11" x14ac:dyDescent="0.2">
      <c r="A675" s="323" t="s">
        <v>330</v>
      </c>
      <c r="B675" s="301" t="s">
        <v>331</v>
      </c>
      <c r="C675" s="301"/>
      <c r="D675" s="301"/>
      <c r="E675" s="301"/>
      <c r="F675" s="302"/>
      <c r="G675" s="832">
        <v>1</v>
      </c>
      <c r="H675" s="833"/>
      <c r="I675" s="606" t="s">
        <v>163</v>
      </c>
      <c r="J675" s="362">
        <v>0</v>
      </c>
      <c r="K675" s="322">
        <f>ROUND((G675*J675),4)</f>
        <v>0</v>
      </c>
    </row>
    <row r="676" spans="1:11" x14ac:dyDescent="0.2">
      <c r="A676" s="323"/>
      <c r="B676" s="301"/>
      <c r="C676" s="301"/>
      <c r="D676" s="301"/>
      <c r="E676" s="301"/>
      <c r="F676" s="302"/>
      <c r="G676" s="832"/>
      <c r="H676" s="833"/>
      <c r="I676" s="606"/>
      <c r="J676" s="337"/>
      <c r="K676" s="306"/>
    </row>
    <row r="677" spans="1:11" x14ac:dyDescent="0.2">
      <c r="A677" s="836" t="s">
        <v>140</v>
      </c>
      <c r="B677" s="837"/>
      <c r="C677" s="837"/>
      <c r="D677" s="837"/>
      <c r="E677" s="837"/>
      <c r="F677" s="837"/>
      <c r="G677" s="837"/>
      <c r="H677" s="837"/>
      <c r="I677" s="837"/>
      <c r="J677" s="838"/>
      <c r="K677" s="328">
        <f>SUM(K673:K676)</f>
        <v>106.6053</v>
      </c>
    </row>
    <row r="678" spans="1:11" x14ac:dyDescent="0.2">
      <c r="A678" s="822" t="s">
        <v>141</v>
      </c>
      <c r="B678" s="839"/>
      <c r="C678" s="839"/>
      <c r="D678" s="839"/>
      <c r="E678" s="839"/>
      <c r="F678" s="841"/>
      <c r="G678" s="843" t="s">
        <v>42</v>
      </c>
      <c r="H678" s="844"/>
      <c r="I678" s="831" t="s">
        <v>126</v>
      </c>
      <c r="J678" s="830" t="s">
        <v>138</v>
      </c>
      <c r="K678" s="830" t="s">
        <v>139</v>
      </c>
    </row>
    <row r="679" spans="1:11" x14ac:dyDescent="0.2">
      <c r="A679" s="824"/>
      <c r="B679" s="840"/>
      <c r="C679" s="840"/>
      <c r="D679" s="840"/>
      <c r="E679" s="840"/>
      <c r="F679" s="842"/>
      <c r="G679" s="845"/>
      <c r="H679" s="846"/>
      <c r="I679" s="831"/>
      <c r="J679" s="830"/>
      <c r="K679" s="831"/>
    </row>
    <row r="680" spans="1:11" x14ac:dyDescent="0.2">
      <c r="A680" s="323"/>
      <c r="B680" s="301"/>
      <c r="C680" s="301"/>
      <c r="D680" s="301"/>
      <c r="E680" s="301"/>
      <c r="F680" s="302"/>
      <c r="G680" s="832"/>
      <c r="H680" s="833"/>
      <c r="I680" s="606"/>
      <c r="J680" s="337"/>
      <c r="K680" s="306"/>
    </row>
    <row r="681" spans="1:11" x14ac:dyDescent="0.2">
      <c r="A681" s="323"/>
      <c r="B681" s="301"/>
      <c r="C681" s="301"/>
      <c r="D681" s="301"/>
      <c r="E681" s="301"/>
      <c r="F681" s="302"/>
      <c r="G681" s="832"/>
      <c r="H681" s="833"/>
      <c r="I681" s="606"/>
      <c r="J681" s="337"/>
      <c r="K681" s="306"/>
    </row>
    <row r="682" spans="1:11" x14ac:dyDescent="0.2">
      <c r="A682" s="323"/>
      <c r="B682" s="301"/>
      <c r="C682" s="301"/>
      <c r="D682" s="301"/>
      <c r="E682" s="301"/>
      <c r="F682" s="302"/>
      <c r="G682" s="832"/>
      <c r="H682" s="833"/>
      <c r="I682" s="606"/>
      <c r="J682" s="337"/>
      <c r="K682" s="306"/>
    </row>
    <row r="683" spans="1:11" x14ac:dyDescent="0.2">
      <c r="A683" s="324"/>
      <c r="B683" s="309"/>
      <c r="C683" s="309"/>
      <c r="D683" s="309"/>
      <c r="E683" s="309"/>
      <c r="F683" s="310"/>
      <c r="G683" s="834"/>
      <c r="H683" s="835"/>
      <c r="I683" s="605"/>
      <c r="J683" s="339"/>
      <c r="K683" s="314"/>
    </row>
    <row r="684" spans="1:11" x14ac:dyDescent="0.2">
      <c r="A684" s="836" t="s">
        <v>142</v>
      </c>
      <c r="B684" s="837"/>
      <c r="C684" s="837"/>
      <c r="D684" s="837"/>
      <c r="E684" s="837"/>
      <c r="F684" s="837"/>
      <c r="G684" s="837"/>
      <c r="H684" s="837"/>
      <c r="I684" s="837"/>
      <c r="J684" s="838"/>
      <c r="K684" s="338"/>
    </row>
    <row r="685" spans="1:11" x14ac:dyDescent="0.2">
      <c r="A685" s="822" t="s">
        <v>143</v>
      </c>
      <c r="B685" s="839"/>
      <c r="C685" s="839"/>
      <c r="D685" s="839"/>
      <c r="E685" s="839"/>
      <c r="F685" s="841"/>
      <c r="G685" s="843" t="s">
        <v>42</v>
      </c>
      <c r="H685" s="844"/>
      <c r="I685" s="831" t="s">
        <v>126</v>
      </c>
      <c r="J685" s="830" t="s">
        <v>138</v>
      </c>
      <c r="K685" s="830" t="s">
        <v>139</v>
      </c>
    </row>
    <row r="686" spans="1:11" x14ac:dyDescent="0.2">
      <c r="A686" s="824"/>
      <c r="B686" s="840"/>
      <c r="C686" s="840"/>
      <c r="D686" s="840"/>
      <c r="E686" s="840"/>
      <c r="F686" s="842"/>
      <c r="G686" s="845"/>
      <c r="H686" s="846"/>
      <c r="I686" s="831"/>
      <c r="J686" s="830"/>
      <c r="K686" s="831"/>
    </row>
    <row r="687" spans="1:11" x14ac:dyDescent="0.2">
      <c r="A687" s="323" t="s">
        <v>390</v>
      </c>
      <c r="B687" s="301" t="s">
        <v>391</v>
      </c>
      <c r="C687" s="301"/>
      <c r="D687" s="301"/>
      <c r="E687" s="301"/>
      <c r="F687" s="302"/>
      <c r="G687" s="832">
        <v>2.4</v>
      </c>
      <c r="H687" s="833"/>
      <c r="I687" s="606" t="s">
        <v>158</v>
      </c>
      <c r="J687" s="362">
        <v>4.21</v>
      </c>
      <c r="K687" s="322">
        <f>ROUND((G687*J687),4)</f>
        <v>10.103999999999999</v>
      </c>
    </row>
    <row r="688" spans="1:11" x14ac:dyDescent="0.2">
      <c r="A688" s="323"/>
      <c r="B688" s="301"/>
      <c r="C688" s="301"/>
      <c r="D688" s="301"/>
      <c r="E688" s="301"/>
      <c r="F688" s="302"/>
      <c r="G688" s="832"/>
      <c r="H688" s="833"/>
      <c r="I688" s="606"/>
      <c r="J688" s="337"/>
      <c r="K688" s="306"/>
    </row>
    <row r="689" spans="1:11" x14ac:dyDescent="0.2">
      <c r="A689" s="323"/>
      <c r="B689" s="301"/>
      <c r="C689" s="301"/>
      <c r="D689" s="301"/>
      <c r="E689" s="301"/>
      <c r="F689" s="302"/>
      <c r="G689" s="832"/>
      <c r="H689" s="833"/>
      <c r="I689" s="606"/>
      <c r="J689" s="337"/>
      <c r="K689" s="306"/>
    </row>
    <row r="690" spans="1:11" x14ac:dyDescent="0.2">
      <c r="A690" s="324"/>
      <c r="B690" s="309"/>
      <c r="C690" s="309"/>
      <c r="D690" s="309"/>
      <c r="E690" s="309"/>
      <c r="F690" s="310"/>
      <c r="G690" s="834"/>
      <c r="H690" s="835"/>
      <c r="I690" s="605"/>
      <c r="J690" s="339"/>
      <c r="K690" s="314"/>
    </row>
    <row r="691" spans="1:11" x14ac:dyDescent="0.2">
      <c r="A691" s="836" t="s">
        <v>144</v>
      </c>
      <c r="B691" s="837"/>
      <c r="C691" s="837"/>
      <c r="D691" s="837"/>
      <c r="E691" s="837"/>
      <c r="F691" s="837"/>
      <c r="G691" s="837"/>
      <c r="H691" s="837"/>
      <c r="I691" s="837"/>
      <c r="J691" s="838"/>
      <c r="K691" s="328">
        <f>SUM(K687:K690)</f>
        <v>10.103999999999999</v>
      </c>
    </row>
    <row r="692" spans="1:11" x14ac:dyDescent="0.2">
      <c r="A692" s="822" t="s">
        <v>145</v>
      </c>
      <c r="B692" s="823"/>
      <c r="C692" s="820" t="s">
        <v>146</v>
      </c>
      <c r="D692" s="340" t="s">
        <v>147</v>
      </c>
      <c r="E692" s="818" t="s">
        <v>148</v>
      </c>
      <c r="F692" s="818"/>
      <c r="G692" s="819"/>
      <c r="H692" s="814" t="s">
        <v>149</v>
      </c>
      <c r="I692" s="815"/>
      <c r="J692" s="816"/>
      <c r="K692" s="812" t="s">
        <v>150</v>
      </c>
    </row>
    <row r="693" spans="1:11" x14ac:dyDescent="0.2">
      <c r="A693" s="826"/>
      <c r="B693" s="827"/>
      <c r="C693" s="821"/>
      <c r="D693" s="341"/>
      <c r="E693" s="378" t="s">
        <v>151</v>
      </c>
      <c r="F693" s="342" t="s">
        <v>152</v>
      </c>
      <c r="G693" s="343" t="s">
        <v>153</v>
      </c>
      <c r="H693" s="378" t="s">
        <v>151</v>
      </c>
      <c r="I693" s="342" t="s">
        <v>152</v>
      </c>
      <c r="J693" s="342" t="s">
        <v>153</v>
      </c>
      <c r="K693" s="813"/>
    </row>
    <row r="694" spans="1:11" x14ac:dyDescent="0.2">
      <c r="A694" s="319" t="s">
        <v>392</v>
      </c>
      <c r="B694" s="293" t="s">
        <v>391</v>
      </c>
      <c r="C694" s="363">
        <v>2.4</v>
      </c>
      <c r="D694" s="345" t="s">
        <v>159</v>
      </c>
      <c r="E694" s="364">
        <v>1.2</v>
      </c>
      <c r="F694" s="365">
        <v>0.96</v>
      </c>
      <c r="G694" s="366">
        <v>0.77</v>
      </c>
      <c r="H694" s="367">
        <v>0</v>
      </c>
      <c r="I694" s="607">
        <v>0</v>
      </c>
      <c r="J694" s="368">
        <v>10</v>
      </c>
      <c r="K694" s="361">
        <f>ROUND((ROUND(E694*H694+F694*I694+G694*J694,2)*C694),4)</f>
        <v>18.48</v>
      </c>
    </row>
    <row r="695" spans="1:11" x14ac:dyDescent="0.2">
      <c r="A695" s="323"/>
      <c r="B695" s="301"/>
      <c r="C695" s="344"/>
      <c r="D695" s="350"/>
      <c r="E695" s="351"/>
      <c r="F695" s="352"/>
      <c r="G695" s="353"/>
      <c r="H695" s="379"/>
      <c r="I695" s="613"/>
      <c r="J695" s="349"/>
      <c r="K695" s="306"/>
    </row>
    <row r="696" spans="1:11" x14ac:dyDescent="0.2">
      <c r="A696" s="323"/>
      <c r="B696" s="301"/>
      <c r="C696" s="344"/>
      <c r="D696" s="350"/>
      <c r="E696" s="351"/>
      <c r="F696" s="352"/>
      <c r="G696" s="353"/>
      <c r="H696" s="379"/>
      <c r="I696" s="613"/>
      <c r="J696" s="349"/>
      <c r="K696" s="306"/>
    </row>
    <row r="697" spans="1:11" x14ac:dyDescent="0.2">
      <c r="A697" s="324"/>
      <c r="B697" s="309"/>
      <c r="C697" s="354"/>
      <c r="D697" s="355"/>
      <c r="E697" s="356"/>
      <c r="F697" s="357"/>
      <c r="G697" s="358"/>
      <c r="H697" s="379"/>
      <c r="I697" s="613"/>
      <c r="J697" s="349"/>
      <c r="K697" s="314"/>
    </row>
    <row r="698" spans="1:11" x14ac:dyDescent="0.2">
      <c r="A698" s="828" t="s">
        <v>154</v>
      </c>
      <c r="B698" s="808"/>
      <c r="C698" s="808"/>
      <c r="D698" s="829"/>
      <c r="E698" s="808"/>
      <c r="F698" s="808"/>
      <c r="G698" s="808"/>
      <c r="H698" s="808"/>
      <c r="I698" s="808"/>
      <c r="J698" s="809"/>
      <c r="K698" s="328">
        <f>SUM(K694:K697)</f>
        <v>18.48</v>
      </c>
    </row>
    <row r="699" spans="1:11" x14ac:dyDescent="0.2">
      <c r="A699" s="807" t="s">
        <v>155</v>
      </c>
      <c r="B699" s="808"/>
      <c r="C699" s="808"/>
      <c r="D699" s="808"/>
      <c r="E699" s="808"/>
      <c r="F699" s="808"/>
      <c r="G699" s="808"/>
      <c r="H699" s="808"/>
      <c r="I699" s="808"/>
      <c r="J699" s="809"/>
      <c r="K699" s="359">
        <f>ROUND((K668+K669+K670+K677+K691+K698),2)</f>
        <v>337.6</v>
      </c>
    </row>
    <row r="700" spans="1:11" x14ac:dyDescent="0.2">
      <c r="A700" s="807" t="s">
        <v>23</v>
      </c>
      <c r="B700" s="808"/>
      <c r="C700" s="808"/>
      <c r="D700" s="808"/>
      <c r="E700" s="808"/>
      <c r="F700" s="808"/>
      <c r="G700" s="808"/>
      <c r="H700" s="808"/>
      <c r="I700" s="808"/>
      <c r="J700" s="809"/>
      <c r="K700" s="359">
        <f>ROUND((K699*  26.76/100),4)</f>
        <v>90.341800000000006</v>
      </c>
    </row>
    <row r="701" spans="1:11" x14ac:dyDescent="0.2">
      <c r="A701" s="807" t="s">
        <v>156</v>
      </c>
      <c r="B701" s="808"/>
      <c r="C701" s="808"/>
      <c r="D701" s="808"/>
      <c r="E701" s="808"/>
      <c r="F701" s="808"/>
      <c r="G701" s="808"/>
      <c r="H701" s="808"/>
      <c r="I701" s="808"/>
      <c r="J701" s="809"/>
      <c r="K701" s="359">
        <f>K699+K700</f>
        <v>427.94180000000006</v>
      </c>
    </row>
    <row r="704" spans="1:11" ht="56.25" customHeight="1" x14ac:dyDescent="0.2">
      <c r="A704" s="804" t="s">
        <v>110</v>
      </c>
      <c r="B704" s="805"/>
      <c r="C704" s="805"/>
      <c r="D704" s="805"/>
      <c r="E704" s="805"/>
      <c r="F704" s="805"/>
      <c r="G704" s="805"/>
      <c r="H704" s="805"/>
      <c r="I704" s="805"/>
      <c r="J704" s="805"/>
      <c r="K704" s="806"/>
    </row>
    <row r="705" spans="1:11" ht="18" customHeight="1" x14ac:dyDescent="0.2">
      <c r="A705" s="275" t="s">
        <v>111</v>
      </c>
      <c r="B705" s="276"/>
      <c r="C705" s="802"/>
      <c r="D705" s="802"/>
      <c r="E705" s="802"/>
      <c r="F705" s="802"/>
      <c r="G705" s="802"/>
      <c r="H705" s="802"/>
      <c r="I705" s="802"/>
      <c r="J705" s="802"/>
      <c r="K705" s="803"/>
    </row>
    <row r="706" spans="1:11" ht="18" customHeight="1" x14ac:dyDescent="0.2">
      <c r="A706" s="275" t="s">
        <v>315</v>
      </c>
      <c r="B706" s="276"/>
      <c r="C706" s="277" t="s">
        <v>66</v>
      </c>
      <c r="E706" s="810" t="s">
        <v>316</v>
      </c>
      <c r="F706" s="810"/>
      <c r="G706" s="810"/>
      <c r="H706" s="279"/>
      <c r="I706" s="604" t="s">
        <v>112</v>
      </c>
      <c r="J706" s="810" t="s">
        <v>113</v>
      </c>
      <c r="K706" s="811"/>
    </row>
    <row r="707" spans="1:11" x14ac:dyDescent="0.2">
      <c r="A707" s="280" t="s">
        <v>114</v>
      </c>
      <c r="B707" s="281" t="s">
        <v>393</v>
      </c>
      <c r="C707" s="282"/>
      <c r="D707" s="282"/>
      <c r="E707" s="282"/>
      <c r="F707" s="282"/>
      <c r="G707" s="282"/>
      <c r="H707" s="282"/>
      <c r="I707" s="282"/>
      <c r="J707" s="282"/>
      <c r="K707" s="283"/>
    </row>
    <row r="708" spans="1:11" x14ac:dyDescent="0.2">
      <c r="A708" s="284" t="s">
        <v>115</v>
      </c>
      <c r="B708" s="285"/>
      <c r="D708" s="286"/>
      <c r="E708" s="286"/>
      <c r="F708" s="286"/>
      <c r="G708" s="286"/>
      <c r="H708" s="286"/>
      <c r="I708" s="603"/>
      <c r="J708" s="287" t="s">
        <v>52</v>
      </c>
      <c r="K708" s="288" t="s">
        <v>318</v>
      </c>
    </row>
    <row r="709" spans="1:11" ht="23.25" customHeight="1" x14ac:dyDescent="0.2">
      <c r="A709" s="869" t="s">
        <v>394</v>
      </c>
      <c r="B709" s="870"/>
      <c r="C709" s="870"/>
      <c r="D709" s="870"/>
      <c r="E709" s="870"/>
      <c r="F709" s="870"/>
      <c r="G709" s="870"/>
      <c r="H709" s="870"/>
      <c r="I709" s="871"/>
      <c r="J709" s="289" t="s">
        <v>116</v>
      </c>
      <c r="K709" s="288" t="s">
        <v>337</v>
      </c>
    </row>
    <row r="710" spans="1:11" x14ac:dyDescent="0.2">
      <c r="A710" s="822" t="s">
        <v>117</v>
      </c>
      <c r="B710" s="839"/>
      <c r="C710" s="839"/>
      <c r="D710" s="839"/>
      <c r="E710" s="823"/>
      <c r="F710" s="290" t="s">
        <v>54</v>
      </c>
      <c r="G710" s="873" t="s">
        <v>118</v>
      </c>
      <c r="H710" s="874"/>
      <c r="I710" s="873" t="s">
        <v>119</v>
      </c>
      <c r="J710" s="874"/>
      <c r="K710" s="867" t="s">
        <v>120</v>
      </c>
    </row>
    <row r="711" spans="1:11" ht="25.5" x14ac:dyDescent="0.2">
      <c r="A711" s="824"/>
      <c r="B711" s="840"/>
      <c r="C711" s="840"/>
      <c r="D711" s="840"/>
      <c r="E711" s="825"/>
      <c r="F711" s="290"/>
      <c r="G711" s="290" t="s">
        <v>121</v>
      </c>
      <c r="H711" s="381" t="s">
        <v>122</v>
      </c>
      <c r="I711" s="290" t="s">
        <v>123</v>
      </c>
      <c r="J711" s="290" t="s">
        <v>122</v>
      </c>
      <c r="K711" s="868"/>
    </row>
    <row r="712" spans="1:11" s="299" customFormat="1" ht="22.5" x14ac:dyDescent="0.25">
      <c r="A712" s="291" t="s">
        <v>340</v>
      </c>
      <c r="B712" s="292" t="s">
        <v>341</v>
      </c>
      <c r="C712" s="292"/>
      <c r="D712" s="292"/>
      <c r="E712" s="293"/>
      <c r="F712" s="294">
        <v>2</v>
      </c>
      <c r="G712" s="295">
        <v>1</v>
      </c>
      <c r="H712" s="296">
        <v>0</v>
      </c>
      <c r="I712" s="602">
        <v>54.258699999999997</v>
      </c>
      <c r="J712" s="297">
        <v>37.0627</v>
      </c>
      <c r="K712" s="298">
        <f>ROUND((ROUND((G712*I712+H712*J712),4)*F712),4)</f>
        <v>108.51739999999999</v>
      </c>
    </row>
    <row r="713" spans="1:11" s="299" customFormat="1" x14ac:dyDescent="0.25">
      <c r="A713" s="300" t="s">
        <v>384</v>
      </c>
      <c r="B713" s="301" t="s">
        <v>385</v>
      </c>
      <c r="C713" s="301"/>
      <c r="D713" s="301"/>
      <c r="E713" s="302"/>
      <c r="F713" s="303">
        <v>1</v>
      </c>
      <c r="G713" s="372">
        <v>0.13</v>
      </c>
      <c r="H713" s="373">
        <v>0.87</v>
      </c>
      <c r="I713" s="601">
        <v>341.02019999999999</v>
      </c>
      <c r="J713" s="321">
        <v>75.331199999999995</v>
      </c>
      <c r="K713" s="374">
        <f>ROUND((ROUND((G713*I713+H713*J713),4)*F713),4)</f>
        <v>109.8708</v>
      </c>
    </row>
    <row r="714" spans="1:11" s="299" customFormat="1" ht="22.5" x14ac:dyDescent="0.25">
      <c r="A714" s="300" t="s">
        <v>395</v>
      </c>
      <c r="B714" s="301" t="s">
        <v>396</v>
      </c>
      <c r="C714" s="301"/>
      <c r="D714" s="301"/>
      <c r="E714" s="302"/>
      <c r="F714" s="303">
        <v>1</v>
      </c>
      <c r="G714" s="372">
        <v>0.06</v>
      </c>
      <c r="H714" s="373">
        <v>0.94</v>
      </c>
      <c r="I714" s="601">
        <v>190.3587</v>
      </c>
      <c r="J714" s="321">
        <v>87.445599999999999</v>
      </c>
      <c r="K714" s="374">
        <f>ROUND((ROUND((G714*I714+H714*J714),4)*F714),4)</f>
        <v>93.620400000000004</v>
      </c>
    </row>
    <row r="715" spans="1:11" s="299" customFormat="1" ht="33.75" x14ac:dyDescent="0.25">
      <c r="A715" s="300" t="s">
        <v>397</v>
      </c>
      <c r="B715" s="301" t="s">
        <v>398</v>
      </c>
      <c r="C715" s="301"/>
      <c r="D715" s="301"/>
      <c r="E715" s="302"/>
      <c r="F715" s="303">
        <v>1</v>
      </c>
      <c r="G715" s="372">
        <v>1</v>
      </c>
      <c r="H715" s="373">
        <v>0</v>
      </c>
      <c r="I715" s="601">
        <v>742.7817</v>
      </c>
      <c r="J715" s="321">
        <v>220.1037</v>
      </c>
      <c r="K715" s="374">
        <f>ROUND((ROUND((G715*I715+H715*J715),4)*F715),4)</f>
        <v>742.7817</v>
      </c>
    </row>
    <row r="716" spans="1:11" s="299" customFormat="1" x14ac:dyDescent="0.25">
      <c r="A716" s="300"/>
      <c r="B716" s="301"/>
      <c r="C716" s="301"/>
      <c r="D716" s="301"/>
      <c r="E716" s="302"/>
      <c r="F716" s="303"/>
      <c r="G716" s="304"/>
      <c r="H716" s="305"/>
      <c r="I716" s="600"/>
      <c r="J716" s="306"/>
      <c r="K716" s="307"/>
    </row>
    <row r="717" spans="1:11" s="299" customFormat="1" x14ac:dyDescent="0.25">
      <c r="A717" s="300"/>
      <c r="B717" s="301"/>
      <c r="C717" s="301"/>
      <c r="D717" s="301"/>
      <c r="E717" s="302"/>
      <c r="F717" s="303"/>
      <c r="G717" s="304"/>
      <c r="H717" s="305"/>
      <c r="I717" s="600"/>
      <c r="J717" s="306"/>
      <c r="K717" s="307"/>
    </row>
    <row r="718" spans="1:11" s="299" customFormat="1" x14ac:dyDescent="0.25">
      <c r="A718" s="300"/>
      <c r="B718" s="301"/>
      <c r="C718" s="301"/>
      <c r="D718" s="301"/>
      <c r="E718" s="302"/>
      <c r="F718" s="303"/>
      <c r="G718" s="304"/>
      <c r="H718" s="305"/>
      <c r="I718" s="600"/>
      <c r="J718" s="306"/>
      <c r="K718" s="307"/>
    </row>
    <row r="719" spans="1:11" s="299" customFormat="1" x14ac:dyDescent="0.25">
      <c r="A719" s="308"/>
      <c r="B719" s="309"/>
      <c r="C719" s="309"/>
      <c r="D719" s="309"/>
      <c r="E719" s="310"/>
      <c r="F719" s="311"/>
      <c r="G719" s="312"/>
      <c r="H719" s="313"/>
      <c r="I719" s="611"/>
      <c r="J719" s="314"/>
      <c r="K719" s="315"/>
    </row>
    <row r="720" spans="1:11" x14ac:dyDescent="0.2">
      <c r="A720" s="836" t="s">
        <v>124</v>
      </c>
      <c r="B720" s="837"/>
      <c r="C720" s="837"/>
      <c r="D720" s="837"/>
      <c r="E720" s="837"/>
      <c r="F720" s="837"/>
      <c r="G720" s="837"/>
      <c r="H720" s="837"/>
      <c r="I720" s="837"/>
      <c r="J720" s="838"/>
      <c r="K720" s="316">
        <f>SUM(K712:K719)</f>
        <v>1054.7903000000001</v>
      </c>
    </row>
    <row r="721" spans="1:11" ht="15.75" customHeight="1" x14ac:dyDescent="0.2">
      <c r="A721" s="822" t="s">
        <v>125</v>
      </c>
      <c r="B721" s="839"/>
      <c r="C721" s="839"/>
      <c r="D721" s="839"/>
      <c r="E721" s="839"/>
      <c r="F721" s="317"/>
      <c r="G721" s="317"/>
      <c r="H721" s="863" t="s">
        <v>54</v>
      </c>
      <c r="I721" s="880" t="s">
        <v>126</v>
      </c>
      <c r="J721" s="867" t="s">
        <v>127</v>
      </c>
      <c r="K721" s="867" t="s">
        <v>120</v>
      </c>
    </row>
    <row r="722" spans="1:11" ht="21.75" customHeight="1" x14ac:dyDescent="0.25">
      <c r="A722" s="824"/>
      <c r="B722" s="840"/>
      <c r="C722" s="840"/>
      <c r="D722" s="840"/>
      <c r="E722" s="840"/>
      <c r="F722" s="318"/>
      <c r="G722" s="269"/>
      <c r="H722" s="864"/>
      <c r="I722" s="881"/>
      <c r="J722" s="868"/>
      <c r="K722" s="868"/>
    </row>
    <row r="723" spans="1:11" x14ac:dyDescent="0.2">
      <c r="A723" s="319" t="s">
        <v>128</v>
      </c>
      <c r="B723" s="859" t="s">
        <v>129</v>
      </c>
      <c r="C723" s="859"/>
      <c r="D723" s="859"/>
      <c r="E723" s="859"/>
      <c r="F723" s="859"/>
      <c r="G723" s="860"/>
      <c r="H723" s="320">
        <v>10</v>
      </c>
      <c r="I723" s="609" t="s">
        <v>130</v>
      </c>
      <c r="J723" s="321">
        <v>18.5961</v>
      </c>
      <c r="K723" s="322">
        <f>ROUND((H723*J723),4)</f>
        <v>185.96100000000001</v>
      </c>
    </row>
    <row r="724" spans="1:11" x14ac:dyDescent="0.2">
      <c r="A724" s="323"/>
      <c r="B724" s="849"/>
      <c r="C724" s="849"/>
      <c r="D724" s="849"/>
      <c r="E724" s="849"/>
      <c r="F724" s="849"/>
      <c r="G724" s="850"/>
      <c r="H724" s="320"/>
      <c r="I724" s="609"/>
      <c r="J724" s="306"/>
      <c r="K724" s="306"/>
    </row>
    <row r="725" spans="1:11" x14ac:dyDescent="0.2">
      <c r="A725" s="323"/>
      <c r="B725" s="849"/>
      <c r="C725" s="849"/>
      <c r="D725" s="849"/>
      <c r="E725" s="849"/>
      <c r="F725" s="849"/>
      <c r="G725" s="850"/>
      <c r="H725" s="320"/>
      <c r="I725" s="609"/>
      <c r="J725" s="306"/>
      <c r="K725" s="306"/>
    </row>
    <row r="726" spans="1:11" x14ac:dyDescent="0.2">
      <c r="A726" s="323"/>
      <c r="B726" s="849"/>
      <c r="C726" s="849"/>
      <c r="D726" s="849"/>
      <c r="E726" s="849"/>
      <c r="F726" s="849"/>
      <c r="G726" s="850"/>
      <c r="H726" s="320"/>
      <c r="I726" s="609"/>
      <c r="J726" s="306"/>
      <c r="K726" s="306"/>
    </row>
    <row r="727" spans="1:11" x14ac:dyDescent="0.2">
      <c r="A727" s="323"/>
      <c r="B727" s="849"/>
      <c r="C727" s="849"/>
      <c r="D727" s="849"/>
      <c r="E727" s="849"/>
      <c r="F727" s="849"/>
      <c r="G727" s="850"/>
      <c r="H727" s="320"/>
      <c r="I727" s="609"/>
      <c r="J727" s="306"/>
      <c r="K727" s="306"/>
    </row>
    <row r="728" spans="1:11" x14ac:dyDescent="0.2">
      <c r="A728" s="323"/>
      <c r="B728" s="849"/>
      <c r="C728" s="849"/>
      <c r="D728" s="849"/>
      <c r="E728" s="849"/>
      <c r="F728" s="849"/>
      <c r="G728" s="850"/>
      <c r="H728" s="320"/>
      <c r="I728" s="609"/>
      <c r="J728" s="306"/>
      <c r="K728" s="306"/>
    </row>
    <row r="729" spans="1:11" x14ac:dyDescent="0.2">
      <c r="A729" s="323"/>
      <c r="B729" s="849"/>
      <c r="C729" s="849"/>
      <c r="D729" s="849"/>
      <c r="E729" s="849"/>
      <c r="F729" s="849"/>
      <c r="G729" s="850"/>
      <c r="H729" s="320"/>
      <c r="I729" s="609"/>
      <c r="J729" s="306"/>
      <c r="K729" s="306"/>
    </row>
    <row r="730" spans="1:11" x14ac:dyDescent="0.2">
      <c r="A730" s="324"/>
      <c r="B730" s="851"/>
      <c r="C730" s="851"/>
      <c r="D730" s="851"/>
      <c r="E730" s="851"/>
      <c r="F730" s="851"/>
      <c r="G730" s="852"/>
      <c r="H730" s="325"/>
      <c r="I730" s="608"/>
      <c r="J730" s="314"/>
      <c r="K730" s="314"/>
    </row>
    <row r="731" spans="1:11" ht="15" x14ac:dyDescent="0.25">
      <c r="A731" s="326"/>
      <c r="C731" s="270"/>
      <c r="D731" s="836" t="s">
        <v>131</v>
      </c>
      <c r="E731" s="837"/>
      <c r="F731" s="837"/>
      <c r="G731" s="837"/>
      <c r="H731" s="837"/>
      <c r="I731" s="837"/>
      <c r="J731" s="838"/>
      <c r="K731" s="328">
        <f>SUM(K723:K730)</f>
        <v>185.96100000000001</v>
      </c>
    </row>
    <row r="732" spans="1:11" x14ac:dyDescent="0.2">
      <c r="A732" s="326" t="s">
        <v>132</v>
      </c>
      <c r="B732" s="329"/>
      <c r="C732" s="330">
        <v>1245</v>
      </c>
      <c r="D732" s="853" t="s">
        <v>133</v>
      </c>
      <c r="E732" s="854"/>
      <c r="F732" s="854"/>
      <c r="G732" s="854"/>
      <c r="H732" s="854"/>
      <c r="I732" s="854"/>
      <c r="J732" s="855"/>
      <c r="K732" s="328">
        <f>K720+K731</f>
        <v>1240.7513000000001</v>
      </c>
    </row>
    <row r="733" spans="1:11" x14ac:dyDescent="0.2">
      <c r="A733" s="331"/>
      <c r="B733" s="329"/>
      <c r="C733" s="332"/>
      <c r="D733" s="879" t="s">
        <v>134</v>
      </c>
      <c r="E733" s="857"/>
      <c r="F733" s="857"/>
      <c r="G733" s="857"/>
      <c r="H733" s="857"/>
      <c r="I733" s="857"/>
      <c r="J733" s="858"/>
      <c r="K733" s="328">
        <f>ROUND((K732/C732),4)</f>
        <v>0.99660000000000004</v>
      </c>
    </row>
    <row r="734" spans="1:11" x14ac:dyDescent="0.2">
      <c r="A734" s="326"/>
      <c r="B734" s="329"/>
      <c r="C734" s="333"/>
      <c r="D734" s="380"/>
      <c r="E734" s="380"/>
      <c r="F734" s="380"/>
      <c r="G734" s="380"/>
      <c r="H734" s="380"/>
      <c r="I734" s="610" t="s">
        <v>135</v>
      </c>
      <c r="J734" s="334">
        <v>0.58399999999999996</v>
      </c>
      <c r="K734" s="328">
        <v>5.7999999999999996E-3</v>
      </c>
    </row>
    <row r="735" spans="1:11" x14ac:dyDescent="0.2">
      <c r="A735" s="326"/>
      <c r="B735" s="329"/>
      <c r="C735" s="333"/>
      <c r="D735" s="380"/>
      <c r="E735" s="380"/>
      <c r="F735" s="380"/>
      <c r="G735" s="380"/>
      <c r="H735" s="380"/>
      <c r="I735" s="610" t="s">
        <v>136</v>
      </c>
      <c r="J735" s="334">
        <v>14.23</v>
      </c>
      <c r="K735" s="328">
        <v>0.17380000000000001</v>
      </c>
    </row>
    <row r="736" spans="1:11" x14ac:dyDescent="0.2">
      <c r="A736" s="822" t="s">
        <v>137</v>
      </c>
      <c r="B736" s="839"/>
      <c r="C736" s="839"/>
      <c r="D736" s="839"/>
      <c r="E736" s="839"/>
      <c r="F736" s="841"/>
      <c r="G736" s="843" t="s">
        <v>42</v>
      </c>
      <c r="H736" s="844"/>
      <c r="I736" s="877" t="s">
        <v>126</v>
      </c>
      <c r="J736" s="875" t="s">
        <v>138</v>
      </c>
      <c r="K736" s="875" t="s">
        <v>139</v>
      </c>
    </row>
    <row r="737" spans="1:11" x14ac:dyDescent="0.2">
      <c r="A737" s="824"/>
      <c r="B737" s="840"/>
      <c r="C737" s="840"/>
      <c r="D737" s="840"/>
      <c r="E737" s="840"/>
      <c r="F737" s="842"/>
      <c r="G737" s="845"/>
      <c r="H737" s="846"/>
      <c r="I737" s="878"/>
      <c r="J737" s="876"/>
      <c r="K737" s="876"/>
    </row>
    <row r="738" spans="1:11" x14ac:dyDescent="0.2">
      <c r="A738" s="323" t="s">
        <v>399</v>
      </c>
      <c r="B738" s="301" t="s">
        <v>400</v>
      </c>
      <c r="C738" s="301"/>
      <c r="D738" s="301"/>
      <c r="E738" s="301"/>
      <c r="F738" s="293"/>
      <c r="G738" s="847">
        <v>0.18</v>
      </c>
      <c r="H738" s="848"/>
      <c r="I738" s="599" t="s">
        <v>161</v>
      </c>
      <c r="J738" s="360">
        <v>0.19839999999999999</v>
      </c>
      <c r="K738" s="361">
        <f>ROUND((G738*J738),4)</f>
        <v>3.5700000000000003E-2</v>
      </c>
    </row>
    <row r="739" spans="1:11" x14ac:dyDescent="0.2">
      <c r="A739" s="323" t="s">
        <v>401</v>
      </c>
      <c r="B739" s="301" t="s">
        <v>402</v>
      </c>
      <c r="C739" s="301"/>
      <c r="D739" s="301"/>
      <c r="E739" s="301"/>
      <c r="F739" s="302"/>
      <c r="G739" s="832">
        <v>1.7899999999999999E-3</v>
      </c>
      <c r="H739" s="833"/>
      <c r="I739" s="606" t="s">
        <v>344</v>
      </c>
      <c r="J739" s="362">
        <v>0</v>
      </c>
      <c r="K739" s="322">
        <f>ROUND((G739*J739),4)</f>
        <v>0</v>
      </c>
    </row>
    <row r="740" spans="1:11" x14ac:dyDescent="0.2">
      <c r="A740" s="323"/>
      <c r="B740" s="301"/>
      <c r="C740" s="301"/>
      <c r="D740" s="301"/>
      <c r="E740" s="301"/>
      <c r="F740" s="302"/>
      <c r="G740" s="832"/>
      <c r="H740" s="833"/>
      <c r="I740" s="606"/>
      <c r="J740" s="337"/>
      <c r="K740" s="306"/>
    </row>
    <row r="741" spans="1:11" x14ac:dyDescent="0.2">
      <c r="A741" s="323"/>
      <c r="B741" s="301"/>
      <c r="C741" s="301"/>
      <c r="D741" s="301"/>
      <c r="E741" s="301"/>
      <c r="F741" s="302"/>
      <c r="G741" s="834"/>
      <c r="H741" s="835"/>
      <c r="I741" s="606"/>
      <c r="J741" s="337"/>
      <c r="K741" s="306"/>
    </row>
    <row r="742" spans="1:11" x14ac:dyDescent="0.2">
      <c r="A742" s="836" t="s">
        <v>140</v>
      </c>
      <c r="B742" s="837"/>
      <c r="C742" s="837"/>
      <c r="D742" s="837"/>
      <c r="E742" s="837"/>
      <c r="F742" s="837"/>
      <c r="G742" s="837"/>
      <c r="H742" s="837"/>
      <c r="I742" s="837"/>
      <c r="J742" s="838"/>
      <c r="K742" s="328">
        <f>SUM(K738:K741)</f>
        <v>3.5700000000000003E-2</v>
      </c>
    </row>
    <row r="743" spans="1:11" x14ac:dyDescent="0.2">
      <c r="A743" s="822" t="s">
        <v>141</v>
      </c>
      <c r="B743" s="839"/>
      <c r="C743" s="839"/>
      <c r="D743" s="839"/>
      <c r="E743" s="839"/>
      <c r="F743" s="841"/>
      <c r="G743" s="843" t="s">
        <v>42</v>
      </c>
      <c r="H743" s="844"/>
      <c r="I743" s="877" t="s">
        <v>126</v>
      </c>
      <c r="J743" s="875" t="s">
        <v>138</v>
      </c>
      <c r="K743" s="875" t="s">
        <v>139</v>
      </c>
    </row>
    <row r="744" spans="1:11" x14ac:dyDescent="0.2">
      <c r="A744" s="824"/>
      <c r="B744" s="840"/>
      <c r="C744" s="840"/>
      <c r="D744" s="840"/>
      <c r="E744" s="840"/>
      <c r="F744" s="842"/>
      <c r="G744" s="845"/>
      <c r="H744" s="846"/>
      <c r="I744" s="878"/>
      <c r="J744" s="876"/>
      <c r="K744" s="876"/>
    </row>
    <row r="745" spans="1:11" ht="33.75" x14ac:dyDescent="0.2">
      <c r="A745" s="323" t="s">
        <v>403</v>
      </c>
      <c r="B745" s="301" t="s">
        <v>404</v>
      </c>
      <c r="C745" s="301"/>
      <c r="D745" s="301"/>
      <c r="E745" s="301"/>
      <c r="F745" s="302"/>
      <c r="G745" s="847">
        <v>8.0000000000000002E-3</v>
      </c>
      <c r="H745" s="848"/>
      <c r="I745" s="606" t="s">
        <v>162</v>
      </c>
      <c r="J745" s="362">
        <v>119.21</v>
      </c>
      <c r="K745" s="322">
        <f>ROUND((G745*J745),4)</f>
        <v>0.95369999999999999</v>
      </c>
    </row>
    <row r="746" spans="1:11" x14ac:dyDescent="0.2">
      <c r="A746" s="323"/>
      <c r="B746" s="301"/>
      <c r="C746" s="301"/>
      <c r="D746" s="301"/>
      <c r="E746" s="301"/>
      <c r="F746" s="302"/>
      <c r="G746" s="832"/>
      <c r="H746" s="833"/>
      <c r="I746" s="606"/>
      <c r="J746" s="337"/>
      <c r="K746" s="306"/>
    </row>
    <row r="747" spans="1:11" x14ac:dyDescent="0.2">
      <c r="A747" s="323"/>
      <c r="B747" s="301"/>
      <c r="C747" s="301"/>
      <c r="D747" s="301"/>
      <c r="E747" s="301"/>
      <c r="F747" s="302"/>
      <c r="G747" s="832"/>
      <c r="H747" s="833"/>
      <c r="I747" s="606"/>
      <c r="J747" s="337"/>
      <c r="K747" s="306"/>
    </row>
    <row r="748" spans="1:11" x14ac:dyDescent="0.2">
      <c r="A748" s="324"/>
      <c r="B748" s="309"/>
      <c r="C748" s="309"/>
      <c r="D748" s="309"/>
      <c r="E748" s="309"/>
      <c r="F748" s="310"/>
      <c r="G748" s="834"/>
      <c r="H748" s="835"/>
      <c r="I748" s="605"/>
      <c r="J748" s="339"/>
      <c r="K748" s="314"/>
    </row>
    <row r="749" spans="1:11" x14ac:dyDescent="0.2">
      <c r="A749" s="836" t="s">
        <v>142</v>
      </c>
      <c r="B749" s="837"/>
      <c r="C749" s="837"/>
      <c r="D749" s="837"/>
      <c r="E749" s="837"/>
      <c r="F749" s="837"/>
      <c r="G749" s="837"/>
      <c r="H749" s="837"/>
      <c r="I749" s="837"/>
      <c r="J749" s="838"/>
      <c r="K749" s="328">
        <f>SUM(K745:K748)</f>
        <v>0.95369999999999999</v>
      </c>
    </row>
    <row r="750" spans="1:11" x14ac:dyDescent="0.2">
      <c r="A750" s="822" t="s">
        <v>143</v>
      </c>
      <c r="B750" s="839"/>
      <c r="C750" s="839"/>
      <c r="D750" s="839"/>
      <c r="E750" s="839"/>
      <c r="F750" s="841"/>
      <c r="G750" s="843" t="s">
        <v>42</v>
      </c>
      <c r="H750" s="844"/>
      <c r="I750" s="877" t="s">
        <v>126</v>
      </c>
      <c r="J750" s="875" t="s">
        <v>138</v>
      </c>
      <c r="K750" s="875" t="s">
        <v>139</v>
      </c>
    </row>
    <row r="751" spans="1:11" x14ac:dyDescent="0.2">
      <c r="A751" s="824"/>
      <c r="B751" s="840"/>
      <c r="C751" s="840"/>
      <c r="D751" s="840"/>
      <c r="E751" s="840"/>
      <c r="F751" s="842"/>
      <c r="G751" s="845"/>
      <c r="H751" s="846"/>
      <c r="I751" s="878"/>
      <c r="J751" s="876"/>
      <c r="K751" s="876"/>
    </row>
    <row r="752" spans="1:11" x14ac:dyDescent="0.2">
      <c r="A752" s="323" t="s">
        <v>405</v>
      </c>
      <c r="B752" s="301" t="s">
        <v>406</v>
      </c>
      <c r="C752" s="301"/>
      <c r="D752" s="301"/>
      <c r="E752" s="301"/>
      <c r="F752" s="302"/>
      <c r="G752" s="847">
        <v>1.8000000000000001E-4</v>
      </c>
      <c r="H752" s="848"/>
      <c r="I752" s="606" t="s">
        <v>158</v>
      </c>
      <c r="J752" s="362">
        <v>25.86</v>
      </c>
      <c r="K752" s="322">
        <f>ROUND((G752*J752),4)</f>
        <v>4.7000000000000002E-3</v>
      </c>
    </row>
    <row r="753" spans="1:11" ht="33.75" x14ac:dyDescent="0.2">
      <c r="A753" s="323" t="s">
        <v>407</v>
      </c>
      <c r="B753" s="301" t="s">
        <v>408</v>
      </c>
      <c r="C753" s="301"/>
      <c r="D753" s="301"/>
      <c r="E753" s="301"/>
      <c r="F753" s="302"/>
      <c r="G753" s="832">
        <v>1.2E-2</v>
      </c>
      <c r="H753" s="833"/>
      <c r="I753" s="606" t="s">
        <v>158</v>
      </c>
      <c r="J753" s="362">
        <v>8.9600000000000009</v>
      </c>
      <c r="K753" s="322">
        <f>ROUND((G753*J753),4)</f>
        <v>0.1075</v>
      </c>
    </row>
    <row r="754" spans="1:11" x14ac:dyDescent="0.2">
      <c r="A754" s="323"/>
      <c r="B754" s="301"/>
      <c r="C754" s="301"/>
      <c r="D754" s="301"/>
      <c r="E754" s="301"/>
      <c r="F754" s="302"/>
      <c r="G754" s="832"/>
      <c r="H754" s="833"/>
      <c r="I754" s="606"/>
      <c r="J754" s="337"/>
      <c r="K754" s="306"/>
    </row>
    <row r="755" spans="1:11" x14ac:dyDescent="0.2">
      <c r="A755" s="324"/>
      <c r="B755" s="309"/>
      <c r="C755" s="309"/>
      <c r="D755" s="309"/>
      <c r="E755" s="309"/>
      <c r="F755" s="310"/>
      <c r="G755" s="834"/>
      <c r="H755" s="835"/>
      <c r="I755" s="605"/>
      <c r="J755" s="339"/>
      <c r="K755" s="314"/>
    </row>
    <row r="756" spans="1:11" x14ac:dyDescent="0.2">
      <c r="A756" s="836" t="s">
        <v>144</v>
      </c>
      <c r="B756" s="837"/>
      <c r="C756" s="837"/>
      <c r="D756" s="837"/>
      <c r="E756" s="837"/>
      <c r="F756" s="837"/>
      <c r="G756" s="837"/>
      <c r="H756" s="837"/>
      <c r="I756" s="837"/>
      <c r="J756" s="838"/>
      <c r="K756" s="328">
        <f>SUM(K752:K755)</f>
        <v>0.11219999999999999</v>
      </c>
    </row>
    <row r="757" spans="1:11" x14ac:dyDescent="0.2">
      <c r="A757" s="822" t="s">
        <v>145</v>
      </c>
      <c r="B757" s="823"/>
      <c r="C757" s="820" t="s">
        <v>146</v>
      </c>
      <c r="D757" s="340" t="s">
        <v>147</v>
      </c>
      <c r="E757" s="817" t="s">
        <v>148</v>
      </c>
      <c r="F757" s="818"/>
      <c r="G757" s="819"/>
      <c r="H757" s="814" t="s">
        <v>149</v>
      </c>
      <c r="I757" s="815"/>
      <c r="J757" s="816"/>
      <c r="K757" s="812" t="s">
        <v>150</v>
      </c>
    </row>
    <row r="758" spans="1:11" x14ac:dyDescent="0.2">
      <c r="A758" s="824"/>
      <c r="B758" s="825"/>
      <c r="C758" s="821"/>
      <c r="D758" s="341"/>
      <c r="E758" s="378" t="s">
        <v>151</v>
      </c>
      <c r="F758" s="342" t="s">
        <v>152</v>
      </c>
      <c r="G758" s="343" t="s">
        <v>153</v>
      </c>
      <c r="H758" s="378" t="s">
        <v>151</v>
      </c>
      <c r="I758" s="342" t="s">
        <v>152</v>
      </c>
      <c r="J758" s="342" t="s">
        <v>153</v>
      </c>
      <c r="K758" s="813"/>
    </row>
    <row r="759" spans="1:11" x14ac:dyDescent="0.2">
      <c r="A759" s="319" t="s">
        <v>409</v>
      </c>
      <c r="B759" s="293" t="s">
        <v>410</v>
      </c>
      <c r="C759" s="363">
        <v>1.8000000000000001E-4</v>
      </c>
      <c r="D759" s="345" t="s">
        <v>159</v>
      </c>
      <c r="E759" s="364">
        <v>1.17</v>
      </c>
      <c r="F759" s="365">
        <v>0.93</v>
      </c>
      <c r="G759" s="366">
        <v>0.75</v>
      </c>
      <c r="H759" s="367">
        <v>0</v>
      </c>
      <c r="I759" s="607">
        <v>0</v>
      </c>
      <c r="J759" s="368">
        <v>152</v>
      </c>
      <c r="K759" s="361">
        <f>ROUND((ROUND(E759*H759+F759*I759+G759*J759,2)*C759),4)</f>
        <v>2.0500000000000001E-2</v>
      </c>
    </row>
    <row r="760" spans="1:11" ht="33.75" x14ac:dyDescent="0.2">
      <c r="A760" s="323" t="s">
        <v>411</v>
      </c>
      <c r="B760" s="301" t="s">
        <v>408</v>
      </c>
      <c r="C760" s="363">
        <v>1.2E-2</v>
      </c>
      <c r="D760" s="350" t="s">
        <v>159</v>
      </c>
      <c r="E760" s="369">
        <v>1.2</v>
      </c>
      <c r="F760" s="370">
        <v>0.96</v>
      </c>
      <c r="G760" s="371">
        <v>0.77</v>
      </c>
      <c r="H760" s="367">
        <v>0</v>
      </c>
      <c r="I760" s="607">
        <v>0</v>
      </c>
      <c r="J760" s="368">
        <v>10</v>
      </c>
      <c r="K760" s="322">
        <f>ROUND((ROUND(E760*H760+F760*I760+G760*J760,2)*C760),4)</f>
        <v>9.2399999999999996E-2</v>
      </c>
    </row>
    <row r="761" spans="1:11" x14ac:dyDescent="0.2">
      <c r="A761" s="323"/>
      <c r="B761" s="301"/>
      <c r="C761" s="344"/>
      <c r="D761" s="350"/>
      <c r="E761" s="351"/>
      <c r="F761" s="352"/>
      <c r="G761" s="353"/>
      <c r="H761" s="379"/>
      <c r="I761" s="613"/>
      <c r="J761" s="349"/>
      <c r="K761" s="306"/>
    </row>
    <row r="762" spans="1:11" x14ac:dyDescent="0.2">
      <c r="A762" s="324"/>
      <c r="B762" s="309"/>
      <c r="C762" s="354"/>
      <c r="D762" s="355"/>
      <c r="E762" s="356"/>
      <c r="F762" s="357"/>
      <c r="G762" s="358"/>
      <c r="H762" s="379"/>
      <c r="I762" s="613"/>
      <c r="J762" s="349"/>
      <c r="K762" s="314"/>
    </row>
    <row r="763" spans="1:11" x14ac:dyDescent="0.2">
      <c r="A763" s="807" t="s">
        <v>154</v>
      </c>
      <c r="B763" s="808"/>
      <c r="C763" s="808"/>
      <c r="D763" s="808"/>
      <c r="E763" s="808"/>
      <c r="F763" s="808"/>
      <c r="G763" s="808"/>
      <c r="H763" s="808"/>
      <c r="I763" s="808"/>
      <c r="J763" s="809"/>
      <c r="K763" s="328">
        <f>SUM(K759:K762)</f>
        <v>0.1129</v>
      </c>
    </row>
    <row r="764" spans="1:11" x14ac:dyDescent="0.2">
      <c r="A764" s="807" t="s">
        <v>155</v>
      </c>
      <c r="B764" s="808"/>
      <c r="C764" s="808"/>
      <c r="D764" s="808"/>
      <c r="E764" s="808"/>
      <c r="F764" s="808"/>
      <c r="G764" s="808"/>
      <c r="H764" s="808"/>
      <c r="I764" s="808"/>
      <c r="J764" s="809"/>
      <c r="K764" s="359">
        <f>ROUND((K733+K734+K735+K742+K749+K756+K763),2)</f>
        <v>2.39</v>
      </c>
    </row>
    <row r="765" spans="1:11" x14ac:dyDescent="0.2">
      <c r="A765" s="807" t="s">
        <v>23</v>
      </c>
      <c r="B765" s="808"/>
      <c r="C765" s="808"/>
      <c r="D765" s="808"/>
      <c r="E765" s="808"/>
      <c r="F765" s="808"/>
      <c r="G765" s="808"/>
      <c r="H765" s="808"/>
      <c r="I765" s="808"/>
      <c r="J765" s="809"/>
      <c r="K765" s="359">
        <f>ROUND((K764*  26.76/100),4)</f>
        <v>0.63959999999999995</v>
      </c>
    </row>
    <row r="766" spans="1:11" x14ac:dyDescent="0.2">
      <c r="A766" s="807" t="s">
        <v>156</v>
      </c>
      <c r="B766" s="808"/>
      <c r="C766" s="808"/>
      <c r="D766" s="808"/>
      <c r="E766" s="808"/>
      <c r="F766" s="808"/>
      <c r="G766" s="808"/>
      <c r="H766" s="808"/>
      <c r="I766" s="808"/>
      <c r="J766" s="809"/>
      <c r="K766" s="359">
        <f>K764+K765</f>
        <v>3.0296000000000003</v>
      </c>
    </row>
    <row r="769" spans="1:11" ht="56.25" customHeight="1" x14ac:dyDescent="0.2">
      <c r="A769" s="804" t="s">
        <v>110</v>
      </c>
      <c r="B769" s="805"/>
      <c r="C769" s="805"/>
      <c r="D769" s="805"/>
      <c r="E769" s="805"/>
      <c r="F769" s="805"/>
      <c r="G769" s="805"/>
      <c r="H769" s="805"/>
      <c r="I769" s="805"/>
      <c r="J769" s="805"/>
      <c r="K769" s="806"/>
    </row>
    <row r="770" spans="1:11" ht="18" customHeight="1" x14ac:dyDescent="0.2">
      <c r="A770" s="275" t="s">
        <v>111</v>
      </c>
      <c r="B770" s="276"/>
      <c r="C770" s="802"/>
      <c r="D770" s="802"/>
      <c r="E770" s="802"/>
      <c r="F770" s="802"/>
      <c r="G770" s="802"/>
      <c r="H770" s="802"/>
      <c r="I770" s="802"/>
      <c r="J770" s="802"/>
      <c r="K770" s="803"/>
    </row>
    <row r="771" spans="1:11" ht="18" customHeight="1" x14ac:dyDescent="0.2">
      <c r="A771" s="275" t="s">
        <v>315</v>
      </c>
      <c r="B771" s="276"/>
      <c r="C771" s="277" t="s">
        <v>66</v>
      </c>
      <c r="E771" s="810" t="s">
        <v>316</v>
      </c>
      <c r="F771" s="810"/>
      <c r="G771" s="810"/>
      <c r="H771" s="279"/>
      <c r="I771" s="604" t="s">
        <v>112</v>
      </c>
      <c r="J771" s="810" t="s">
        <v>113</v>
      </c>
      <c r="K771" s="811"/>
    </row>
    <row r="772" spans="1:11" x14ac:dyDescent="0.2">
      <c r="A772" s="280" t="s">
        <v>114</v>
      </c>
      <c r="B772" s="281" t="s">
        <v>412</v>
      </c>
      <c r="C772" s="282"/>
      <c r="D772" s="282"/>
      <c r="E772" s="282"/>
      <c r="F772" s="282"/>
      <c r="G772" s="282"/>
      <c r="H772" s="282"/>
      <c r="I772" s="282"/>
      <c r="J772" s="282"/>
      <c r="K772" s="283"/>
    </row>
    <row r="773" spans="1:11" x14ac:dyDescent="0.2">
      <c r="A773" s="284" t="s">
        <v>115</v>
      </c>
      <c r="B773" s="285"/>
      <c r="D773" s="286"/>
      <c r="E773" s="286"/>
      <c r="F773" s="286"/>
      <c r="G773" s="286"/>
      <c r="H773" s="286"/>
      <c r="I773" s="603"/>
      <c r="J773" s="287" t="s">
        <v>52</v>
      </c>
      <c r="K773" s="288" t="s">
        <v>318</v>
      </c>
    </row>
    <row r="774" spans="1:11" ht="23.25" customHeight="1" x14ac:dyDescent="0.2">
      <c r="A774" s="869" t="s">
        <v>413</v>
      </c>
      <c r="B774" s="870"/>
      <c r="C774" s="870"/>
      <c r="D774" s="870"/>
      <c r="E774" s="870"/>
      <c r="F774" s="870"/>
      <c r="G774" s="870"/>
      <c r="H774" s="870"/>
      <c r="I774" s="871"/>
      <c r="J774" s="289" t="s">
        <v>116</v>
      </c>
      <c r="K774" s="288" t="s">
        <v>337</v>
      </c>
    </row>
    <row r="775" spans="1:11" x14ac:dyDescent="0.2">
      <c r="A775" s="826" t="s">
        <v>117</v>
      </c>
      <c r="B775" s="872"/>
      <c r="C775" s="839"/>
      <c r="D775" s="839"/>
      <c r="E775" s="823"/>
      <c r="F775" s="290" t="s">
        <v>54</v>
      </c>
      <c r="G775" s="873" t="s">
        <v>118</v>
      </c>
      <c r="H775" s="874"/>
      <c r="I775" s="813" t="s">
        <v>119</v>
      </c>
      <c r="J775" s="813"/>
      <c r="K775" s="867" t="s">
        <v>120</v>
      </c>
    </row>
    <row r="776" spans="1:11" ht="25.5" x14ac:dyDescent="0.2">
      <c r="A776" s="826"/>
      <c r="B776" s="872"/>
      <c r="C776" s="872"/>
      <c r="D776" s="872"/>
      <c r="E776" s="827"/>
      <c r="F776" s="290"/>
      <c r="G776" s="290" t="s">
        <v>121</v>
      </c>
      <c r="H776" s="381" t="s">
        <v>122</v>
      </c>
      <c r="I776" s="290" t="s">
        <v>123</v>
      </c>
      <c r="J776" s="290" t="s">
        <v>122</v>
      </c>
      <c r="K776" s="868"/>
    </row>
    <row r="777" spans="1:11" s="299" customFormat="1" ht="22.5" x14ac:dyDescent="0.25">
      <c r="A777" s="291" t="s">
        <v>340</v>
      </c>
      <c r="B777" s="292" t="s">
        <v>341</v>
      </c>
      <c r="C777" s="292"/>
      <c r="D777" s="292"/>
      <c r="E777" s="293"/>
      <c r="F777" s="294">
        <v>2</v>
      </c>
      <c r="G777" s="295">
        <v>1</v>
      </c>
      <c r="H777" s="296">
        <v>0</v>
      </c>
      <c r="I777" s="602">
        <v>54.258699999999997</v>
      </c>
      <c r="J777" s="297">
        <v>37.0627</v>
      </c>
      <c r="K777" s="298">
        <f>ROUND((ROUND((G777*I777+H777*J777),4)*F777),4)</f>
        <v>108.51739999999999</v>
      </c>
    </row>
    <row r="778" spans="1:11" s="299" customFormat="1" x14ac:dyDescent="0.25">
      <c r="A778" s="300" t="s">
        <v>384</v>
      </c>
      <c r="B778" s="301" t="s">
        <v>385</v>
      </c>
      <c r="C778" s="301"/>
      <c r="D778" s="301"/>
      <c r="E778" s="302"/>
      <c r="F778" s="303">
        <v>1</v>
      </c>
      <c r="G778" s="372">
        <v>0.13</v>
      </c>
      <c r="H778" s="373">
        <v>0.87</v>
      </c>
      <c r="I778" s="601">
        <v>341.02019999999999</v>
      </c>
      <c r="J778" s="321">
        <v>75.331199999999995</v>
      </c>
      <c r="K778" s="374">
        <f>ROUND((ROUND((G778*I778+H778*J778),4)*F778),4)</f>
        <v>109.8708</v>
      </c>
    </row>
    <row r="779" spans="1:11" s="299" customFormat="1" ht="22.5" x14ac:dyDescent="0.25">
      <c r="A779" s="300" t="s">
        <v>395</v>
      </c>
      <c r="B779" s="301" t="s">
        <v>396</v>
      </c>
      <c r="C779" s="301"/>
      <c r="D779" s="301"/>
      <c r="E779" s="302"/>
      <c r="F779" s="303">
        <v>1</v>
      </c>
      <c r="G779" s="372">
        <v>0.06</v>
      </c>
      <c r="H779" s="373">
        <v>0.94</v>
      </c>
      <c r="I779" s="601">
        <v>190.3587</v>
      </c>
      <c r="J779" s="321">
        <v>87.445599999999999</v>
      </c>
      <c r="K779" s="374">
        <f>ROUND((ROUND((G779*I779+H779*J779),4)*F779),4)</f>
        <v>93.620400000000004</v>
      </c>
    </row>
    <row r="780" spans="1:11" s="299" customFormat="1" ht="33.75" x14ac:dyDescent="0.25">
      <c r="A780" s="300" t="s">
        <v>397</v>
      </c>
      <c r="B780" s="301" t="s">
        <v>398</v>
      </c>
      <c r="C780" s="301"/>
      <c r="D780" s="301"/>
      <c r="E780" s="302"/>
      <c r="F780" s="303">
        <v>1</v>
      </c>
      <c r="G780" s="372">
        <v>1</v>
      </c>
      <c r="H780" s="373">
        <v>0</v>
      </c>
      <c r="I780" s="601">
        <v>742.7817</v>
      </c>
      <c r="J780" s="321">
        <v>220.1037</v>
      </c>
      <c r="K780" s="374">
        <f>ROUND((ROUND((G780*I780+H780*J780),4)*F780),4)</f>
        <v>742.7817</v>
      </c>
    </row>
    <row r="781" spans="1:11" s="299" customFormat="1" x14ac:dyDescent="0.25">
      <c r="A781" s="300"/>
      <c r="B781" s="301"/>
      <c r="C781" s="301"/>
      <c r="D781" s="301"/>
      <c r="E781" s="302"/>
      <c r="F781" s="303"/>
      <c r="G781" s="304"/>
      <c r="H781" s="305"/>
      <c r="I781" s="600"/>
      <c r="J781" s="306"/>
      <c r="K781" s="307"/>
    </row>
    <row r="782" spans="1:11" s="299" customFormat="1" x14ac:dyDescent="0.25">
      <c r="A782" s="300"/>
      <c r="B782" s="301"/>
      <c r="C782" s="301"/>
      <c r="D782" s="301"/>
      <c r="E782" s="302"/>
      <c r="F782" s="303"/>
      <c r="G782" s="304"/>
      <c r="H782" s="305"/>
      <c r="I782" s="600"/>
      <c r="J782" s="306"/>
      <c r="K782" s="307"/>
    </row>
    <row r="783" spans="1:11" s="299" customFormat="1" x14ac:dyDescent="0.25">
      <c r="A783" s="300"/>
      <c r="B783" s="301"/>
      <c r="C783" s="301"/>
      <c r="D783" s="301"/>
      <c r="E783" s="302"/>
      <c r="F783" s="303"/>
      <c r="G783" s="304"/>
      <c r="H783" s="305"/>
      <c r="I783" s="600"/>
      <c r="J783" s="306"/>
      <c r="K783" s="307"/>
    </row>
    <row r="784" spans="1:11" s="299" customFormat="1" x14ac:dyDescent="0.25">
      <c r="A784" s="308"/>
      <c r="B784" s="309"/>
      <c r="C784" s="309"/>
      <c r="D784" s="309"/>
      <c r="E784" s="310"/>
      <c r="F784" s="311"/>
      <c r="G784" s="312"/>
      <c r="H784" s="313"/>
      <c r="I784" s="611"/>
      <c r="J784" s="314"/>
      <c r="K784" s="315"/>
    </row>
    <row r="785" spans="1:11" x14ac:dyDescent="0.2">
      <c r="A785" s="861" t="s">
        <v>124</v>
      </c>
      <c r="B785" s="862"/>
      <c r="C785" s="862"/>
      <c r="D785" s="862"/>
      <c r="E785" s="862"/>
      <c r="F785" s="837"/>
      <c r="G785" s="837"/>
      <c r="H785" s="837"/>
      <c r="I785" s="837"/>
      <c r="J785" s="838"/>
      <c r="K785" s="316">
        <f>SUM(K777:K784)</f>
        <v>1054.7903000000001</v>
      </c>
    </row>
    <row r="786" spans="1:11" ht="15.75" customHeight="1" x14ac:dyDescent="0.2">
      <c r="A786" s="822" t="s">
        <v>125</v>
      </c>
      <c r="B786" s="839"/>
      <c r="C786" s="839"/>
      <c r="D786" s="839"/>
      <c r="E786" s="839"/>
      <c r="F786" s="317"/>
      <c r="G786" s="317"/>
      <c r="H786" s="863" t="s">
        <v>54</v>
      </c>
      <c r="I786" s="865" t="s">
        <v>126</v>
      </c>
      <c r="J786" s="867" t="s">
        <v>127</v>
      </c>
      <c r="K786" s="867" t="s">
        <v>120</v>
      </c>
    </row>
    <row r="787" spans="1:11" ht="21.75" customHeight="1" x14ac:dyDescent="0.25">
      <c r="A787" s="824"/>
      <c r="B787" s="840"/>
      <c r="C787" s="840"/>
      <c r="D787" s="840"/>
      <c r="E787" s="840"/>
      <c r="F787" s="318"/>
      <c r="G787" s="269"/>
      <c r="H787" s="864"/>
      <c r="I787" s="866"/>
      <c r="J787" s="868"/>
      <c r="K787" s="868"/>
    </row>
    <row r="788" spans="1:11" x14ac:dyDescent="0.2">
      <c r="A788" s="319" t="s">
        <v>128</v>
      </c>
      <c r="B788" s="859" t="s">
        <v>129</v>
      </c>
      <c r="C788" s="859"/>
      <c r="D788" s="859"/>
      <c r="E788" s="859"/>
      <c r="F788" s="859"/>
      <c r="G788" s="860"/>
      <c r="H788" s="320">
        <v>10</v>
      </c>
      <c r="I788" s="609" t="s">
        <v>130</v>
      </c>
      <c r="J788" s="321">
        <v>18.5961</v>
      </c>
      <c r="K788" s="322">
        <f>ROUND((H788*J788),4)</f>
        <v>185.96100000000001</v>
      </c>
    </row>
    <row r="789" spans="1:11" x14ac:dyDescent="0.2">
      <c r="A789" s="323"/>
      <c r="B789" s="849"/>
      <c r="C789" s="849"/>
      <c r="D789" s="849"/>
      <c r="E789" s="849"/>
      <c r="F789" s="849"/>
      <c r="G789" s="850"/>
      <c r="H789" s="320"/>
      <c r="I789" s="609"/>
      <c r="J789" s="306"/>
      <c r="K789" s="306"/>
    </row>
    <row r="790" spans="1:11" x14ac:dyDescent="0.2">
      <c r="A790" s="323"/>
      <c r="B790" s="849"/>
      <c r="C790" s="849"/>
      <c r="D790" s="849"/>
      <c r="E790" s="849"/>
      <c r="F790" s="849"/>
      <c r="G790" s="850"/>
      <c r="H790" s="320"/>
      <c r="I790" s="609"/>
      <c r="J790" s="306"/>
      <c r="K790" s="306"/>
    </row>
    <row r="791" spans="1:11" x14ac:dyDescent="0.2">
      <c r="A791" s="323"/>
      <c r="B791" s="849"/>
      <c r="C791" s="849"/>
      <c r="D791" s="849"/>
      <c r="E791" s="849"/>
      <c r="F791" s="849"/>
      <c r="G791" s="850"/>
      <c r="H791" s="320"/>
      <c r="I791" s="609"/>
      <c r="J791" s="306"/>
      <c r="K791" s="306"/>
    </row>
    <row r="792" spans="1:11" x14ac:dyDescent="0.2">
      <c r="A792" s="323"/>
      <c r="B792" s="849"/>
      <c r="C792" s="849"/>
      <c r="D792" s="849"/>
      <c r="E792" s="849"/>
      <c r="F792" s="849"/>
      <c r="G792" s="850"/>
      <c r="H792" s="320"/>
      <c r="I792" s="609"/>
      <c r="J792" s="306"/>
      <c r="K792" s="306"/>
    </row>
    <row r="793" spans="1:11" x14ac:dyDescent="0.2">
      <c r="A793" s="323"/>
      <c r="B793" s="849"/>
      <c r="C793" s="849"/>
      <c r="D793" s="849"/>
      <c r="E793" s="849"/>
      <c r="F793" s="849"/>
      <c r="G793" s="850"/>
      <c r="H793" s="320"/>
      <c r="I793" s="609"/>
      <c r="J793" s="306"/>
      <c r="K793" s="306"/>
    </row>
    <row r="794" spans="1:11" x14ac:dyDescent="0.2">
      <c r="A794" s="323"/>
      <c r="B794" s="849"/>
      <c r="C794" s="849"/>
      <c r="D794" s="849"/>
      <c r="E794" s="849"/>
      <c r="F794" s="849"/>
      <c r="G794" s="850"/>
      <c r="H794" s="320"/>
      <c r="I794" s="609"/>
      <c r="J794" s="306"/>
      <c r="K794" s="306"/>
    </row>
    <row r="795" spans="1:11" x14ac:dyDescent="0.2">
      <c r="A795" s="324"/>
      <c r="B795" s="851"/>
      <c r="C795" s="851"/>
      <c r="D795" s="851"/>
      <c r="E795" s="851"/>
      <c r="F795" s="851"/>
      <c r="G795" s="852"/>
      <c r="H795" s="325"/>
      <c r="I795" s="608"/>
      <c r="J795" s="314"/>
      <c r="K795" s="314"/>
    </row>
    <row r="796" spans="1:11" ht="15" x14ac:dyDescent="0.25">
      <c r="A796" s="326"/>
      <c r="C796" s="270"/>
      <c r="D796" s="836" t="s">
        <v>131</v>
      </c>
      <c r="E796" s="837"/>
      <c r="F796" s="837"/>
      <c r="G796" s="837"/>
      <c r="H796" s="837"/>
      <c r="I796" s="837"/>
      <c r="J796" s="838"/>
      <c r="K796" s="328">
        <f>SUM(K788:K795)</f>
        <v>185.96100000000001</v>
      </c>
    </row>
    <row r="797" spans="1:11" x14ac:dyDescent="0.2">
      <c r="A797" s="326" t="s">
        <v>132</v>
      </c>
      <c r="B797" s="329"/>
      <c r="C797" s="330">
        <v>830</v>
      </c>
      <c r="D797" s="853" t="s">
        <v>133</v>
      </c>
      <c r="E797" s="854"/>
      <c r="F797" s="854"/>
      <c r="G797" s="854"/>
      <c r="H797" s="854"/>
      <c r="I797" s="854"/>
      <c r="J797" s="855"/>
      <c r="K797" s="328">
        <f>K785+K796</f>
        <v>1240.7513000000001</v>
      </c>
    </row>
    <row r="798" spans="1:11" x14ac:dyDescent="0.2">
      <c r="A798" s="331"/>
      <c r="B798" s="329"/>
      <c r="C798" s="332"/>
      <c r="D798" s="856" t="s">
        <v>134</v>
      </c>
      <c r="E798" s="856"/>
      <c r="F798" s="857"/>
      <c r="G798" s="857"/>
      <c r="H798" s="857"/>
      <c r="I798" s="857"/>
      <c r="J798" s="858"/>
      <c r="K798" s="328">
        <f>ROUND((K797/C797),4)</f>
        <v>1.4948999999999999</v>
      </c>
    </row>
    <row r="799" spans="1:11" x14ac:dyDescent="0.2">
      <c r="A799" s="326"/>
      <c r="B799" s="329"/>
      <c r="C799" s="333"/>
      <c r="D799" s="380"/>
      <c r="E799" s="380"/>
      <c r="F799" s="380"/>
      <c r="G799" s="380"/>
      <c r="H799" s="380"/>
      <c r="I799" s="610" t="s">
        <v>135</v>
      </c>
      <c r="J799" s="334">
        <v>0.58399999999999996</v>
      </c>
      <c r="K799" s="328">
        <v>8.6999999999999994E-3</v>
      </c>
    </row>
    <row r="800" spans="1:11" x14ac:dyDescent="0.2">
      <c r="A800" s="326"/>
      <c r="B800" s="329"/>
      <c r="C800" s="333"/>
      <c r="D800" s="380"/>
      <c r="E800" s="380"/>
      <c r="F800" s="380"/>
      <c r="G800" s="380"/>
      <c r="H800" s="380"/>
      <c r="I800" s="610" t="s">
        <v>136</v>
      </c>
      <c r="J800" s="334">
        <v>14.23</v>
      </c>
      <c r="K800" s="328">
        <v>0.26079999999999998</v>
      </c>
    </row>
    <row r="801" spans="1:11" x14ac:dyDescent="0.2">
      <c r="A801" s="822" t="s">
        <v>137</v>
      </c>
      <c r="B801" s="839"/>
      <c r="C801" s="839"/>
      <c r="D801" s="839"/>
      <c r="E801" s="839"/>
      <c r="F801" s="841"/>
      <c r="G801" s="843" t="s">
        <v>42</v>
      </c>
      <c r="H801" s="844"/>
      <c r="I801" s="831" t="s">
        <v>126</v>
      </c>
      <c r="J801" s="830" t="s">
        <v>138</v>
      </c>
      <c r="K801" s="830" t="s">
        <v>139</v>
      </c>
    </row>
    <row r="802" spans="1:11" x14ac:dyDescent="0.2">
      <c r="A802" s="824"/>
      <c r="B802" s="840"/>
      <c r="C802" s="840"/>
      <c r="D802" s="840"/>
      <c r="E802" s="840"/>
      <c r="F802" s="842"/>
      <c r="G802" s="845"/>
      <c r="H802" s="846"/>
      <c r="I802" s="831"/>
      <c r="J802" s="830"/>
      <c r="K802" s="831"/>
    </row>
    <row r="803" spans="1:11" x14ac:dyDescent="0.2">
      <c r="A803" s="323" t="s">
        <v>399</v>
      </c>
      <c r="B803" s="301" t="s">
        <v>400</v>
      </c>
      <c r="C803" s="301"/>
      <c r="D803" s="301"/>
      <c r="E803" s="301"/>
      <c r="F803" s="293"/>
      <c r="G803" s="847">
        <v>0.27</v>
      </c>
      <c r="H803" s="848"/>
      <c r="I803" s="599" t="s">
        <v>161</v>
      </c>
      <c r="J803" s="360">
        <v>0.19839999999999999</v>
      </c>
      <c r="K803" s="361">
        <f>ROUND((G803*J803),4)</f>
        <v>5.3600000000000002E-2</v>
      </c>
    </row>
    <row r="804" spans="1:11" x14ac:dyDescent="0.2">
      <c r="A804" s="323"/>
      <c r="B804" s="301"/>
      <c r="C804" s="301"/>
      <c r="D804" s="301"/>
      <c r="E804" s="301"/>
      <c r="F804" s="302"/>
      <c r="G804" s="832"/>
      <c r="H804" s="833"/>
      <c r="I804" s="606"/>
      <c r="J804" s="337"/>
      <c r="K804" s="306"/>
    </row>
    <row r="805" spans="1:11" x14ac:dyDescent="0.2">
      <c r="A805" s="323"/>
      <c r="B805" s="301"/>
      <c r="C805" s="301"/>
      <c r="D805" s="301"/>
      <c r="E805" s="301"/>
      <c r="F805" s="302"/>
      <c r="G805" s="832"/>
      <c r="H805" s="833"/>
      <c r="I805" s="606"/>
      <c r="J805" s="337"/>
      <c r="K805" s="306"/>
    </row>
    <row r="806" spans="1:11" x14ac:dyDescent="0.2">
      <c r="A806" s="323"/>
      <c r="B806" s="301"/>
      <c r="C806" s="301"/>
      <c r="D806" s="301"/>
      <c r="E806" s="301"/>
      <c r="F806" s="302"/>
      <c r="G806" s="832"/>
      <c r="H806" s="833"/>
      <c r="I806" s="606"/>
      <c r="J806" s="337"/>
      <c r="K806" s="306"/>
    </row>
    <row r="807" spans="1:11" x14ac:dyDescent="0.2">
      <c r="A807" s="836" t="s">
        <v>140</v>
      </c>
      <c r="B807" s="837"/>
      <c r="C807" s="837"/>
      <c r="D807" s="837"/>
      <c r="E807" s="837"/>
      <c r="F807" s="837"/>
      <c r="G807" s="837"/>
      <c r="H807" s="837"/>
      <c r="I807" s="837"/>
      <c r="J807" s="838"/>
      <c r="K807" s="328">
        <f>SUM(K803:K806)</f>
        <v>5.3600000000000002E-2</v>
      </c>
    </row>
    <row r="808" spans="1:11" x14ac:dyDescent="0.2">
      <c r="A808" s="822" t="s">
        <v>141</v>
      </c>
      <c r="B808" s="839"/>
      <c r="C808" s="839"/>
      <c r="D808" s="839"/>
      <c r="E808" s="839"/>
      <c r="F808" s="841"/>
      <c r="G808" s="843" t="s">
        <v>42</v>
      </c>
      <c r="H808" s="844"/>
      <c r="I808" s="831" t="s">
        <v>126</v>
      </c>
      <c r="J808" s="830" t="s">
        <v>138</v>
      </c>
      <c r="K808" s="830" t="s">
        <v>139</v>
      </c>
    </row>
    <row r="809" spans="1:11" x14ac:dyDescent="0.2">
      <c r="A809" s="824"/>
      <c r="B809" s="840"/>
      <c r="C809" s="840"/>
      <c r="D809" s="840"/>
      <c r="E809" s="840"/>
      <c r="F809" s="842"/>
      <c r="G809" s="845"/>
      <c r="H809" s="846"/>
      <c r="I809" s="831"/>
      <c r="J809" s="830"/>
      <c r="K809" s="831"/>
    </row>
    <row r="810" spans="1:11" ht="33.75" x14ac:dyDescent="0.2">
      <c r="A810" s="323" t="s">
        <v>403</v>
      </c>
      <c r="B810" s="301" t="s">
        <v>404</v>
      </c>
      <c r="C810" s="301"/>
      <c r="D810" s="301"/>
      <c r="E810" s="301"/>
      <c r="F810" s="302"/>
      <c r="G810" s="832">
        <v>1.2E-2</v>
      </c>
      <c r="H810" s="833"/>
      <c r="I810" s="606" t="s">
        <v>162</v>
      </c>
      <c r="J810" s="362">
        <v>119.21</v>
      </c>
      <c r="K810" s="322">
        <f>ROUND((G810*J810),4)</f>
        <v>1.4305000000000001</v>
      </c>
    </row>
    <row r="811" spans="1:11" x14ac:dyDescent="0.2">
      <c r="A811" s="323"/>
      <c r="B811" s="301"/>
      <c r="C811" s="301"/>
      <c r="D811" s="301"/>
      <c r="E811" s="301"/>
      <c r="F811" s="302"/>
      <c r="G811" s="832"/>
      <c r="H811" s="833"/>
      <c r="I811" s="606"/>
      <c r="J811" s="337"/>
      <c r="K811" s="306"/>
    </row>
    <row r="812" spans="1:11" x14ac:dyDescent="0.2">
      <c r="A812" s="323"/>
      <c r="B812" s="301"/>
      <c r="C812" s="301"/>
      <c r="D812" s="301"/>
      <c r="E812" s="301"/>
      <c r="F812" s="302"/>
      <c r="G812" s="832"/>
      <c r="H812" s="833"/>
      <c r="I812" s="606"/>
      <c r="J812" s="337"/>
      <c r="K812" s="306"/>
    </row>
    <row r="813" spans="1:11" x14ac:dyDescent="0.2">
      <c r="A813" s="324"/>
      <c r="B813" s="309"/>
      <c r="C813" s="309"/>
      <c r="D813" s="309"/>
      <c r="E813" s="309"/>
      <c r="F813" s="310"/>
      <c r="G813" s="834"/>
      <c r="H813" s="835"/>
      <c r="I813" s="605"/>
      <c r="J813" s="339"/>
      <c r="K813" s="314"/>
    </row>
    <row r="814" spans="1:11" x14ac:dyDescent="0.2">
      <c r="A814" s="836" t="s">
        <v>142</v>
      </c>
      <c r="B814" s="837"/>
      <c r="C814" s="837"/>
      <c r="D814" s="837"/>
      <c r="E814" s="837"/>
      <c r="F814" s="837"/>
      <c r="G814" s="837"/>
      <c r="H814" s="837"/>
      <c r="I814" s="837"/>
      <c r="J814" s="838"/>
      <c r="K814" s="328">
        <f>SUM(K810:K813)</f>
        <v>1.4305000000000001</v>
      </c>
    </row>
    <row r="815" spans="1:11" x14ac:dyDescent="0.2">
      <c r="A815" s="822" t="s">
        <v>143</v>
      </c>
      <c r="B815" s="839"/>
      <c r="C815" s="839"/>
      <c r="D815" s="839"/>
      <c r="E815" s="839"/>
      <c r="F815" s="841"/>
      <c r="G815" s="843" t="s">
        <v>42</v>
      </c>
      <c r="H815" s="844"/>
      <c r="I815" s="831" t="s">
        <v>126</v>
      </c>
      <c r="J815" s="830" t="s">
        <v>138</v>
      </c>
      <c r="K815" s="830" t="s">
        <v>139</v>
      </c>
    </row>
    <row r="816" spans="1:11" x14ac:dyDescent="0.2">
      <c r="A816" s="824"/>
      <c r="B816" s="840"/>
      <c r="C816" s="840"/>
      <c r="D816" s="840"/>
      <c r="E816" s="840"/>
      <c r="F816" s="842"/>
      <c r="G816" s="845"/>
      <c r="H816" s="846"/>
      <c r="I816" s="831"/>
      <c r="J816" s="830"/>
      <c r="K816" s="831"/>
    </row>
    <row r="817" spans="1:11" x14ac:dyDescent="0.2">
      <c r="A817" s="323" t="s">
        <v>405</v>
      </c>
      <c r="B817" s="301" t="s">
        <v>406</v>
      </c>
      <c r="C817" s="301"/>
      <c r="D817" s="301"/>
      <c r="E817" s="301"/>
      <c r="F817" s="302"/>
      <c r="G817" s="832">
        <v>2.7E-4</v>
      </c>
      <c r="H817" s="833"/>
      <c r="I817" s="606" t="s">
        <v>158</v>
      </c>
      <c r="J817" s="362">
        <v>25.86</v>
      </c>
      <c r="K817" s="322">
        <f>ROUND((G817*J817),4)</f>
        <v>7.0000000000000001E-3</v>
      </c>
    </row>
    <row r="818" spans="1:11" ht="33.75" x14ac:dyDescent="0.2">
      <c r="A818" s="323" t="s">
        <v>407</v>
      </c>
      <c r="B818" s="301" t="s">
        <v>408</v>
      </c>
      <c r="C818" s="301"/>
      <c r="D818" s="301"/>
      <c r="E818" s="301"/>
      <c r="F818" s="302"/>
      <c r="G818" s="832">
        <v>1.7999999999999999E-2</v>
      </c>
      <c r="H818" s="833"/>
      <c r="I818" s="606" t="s">
        <v>158</v>
      </c>
      <c r="J818" s="362">
        <v>8.9600000000000009</v>
      </c>
      <c r="K818" s="322">
        <f>ROUND((G818*J818),4)</f>
        <v>0.1613</v>
      </c>
    </row>
    <row r="819" spans="1:11" x14ac:dyDescent="0.2">
      <c r="A819" s="323"/>
      <c r="B819" s="301"/>
      <c r="C819" s="301"/>
      <c r="D819" s="301"/>
      <c r="E819" s="301"/>
      <c r="F819" s="302"/>
      <c r="G819" s="832"/>
      <c r="H819" s="833"/>
      <c r="I819" s="606"/>
      <c r="J819" s="337"/>
      <c r="K819" s="306"/>
    </row>
    <row r="820" spans="1:11" x14ac:dyDescent="0.2">
      <c r="A820" s="324"/>
      <c r="B820" s="309"/>
      <c r="C820" s="309"/>
      <c r="D820" s="309"/>
      <c r="E820" s="309"/>
      <c r="F820" s="310"/>
      <c r="G820" s="834"/>
      <c r="H820" s="835"/>
      <c r="I820" s="605"/>
      <c r="J820" s="339"/>
      <c r="K820" s="314"/>
    </row>
    <row r="821" spans="1:11" x14ac:dyDescent="0.2">
      <c r="A821" s="836" t="s">
        <v>144</v>
      </c>
      <c r="B821" s="837"/>
      <c r="C821" s="837"/>
      <c r="D821" s="837"/>
      <c r="E821" s="837"/>
      <c r="F821" s="837"/>
      <c r="G821" s="837"/>
      <c r="H821" s="837"/>
      <c r="I821" s="837"/>
      <c r="J821" s="838"/>
      <c r="K821" s="328">
        <f>SUM(K817:K820)</f>
        <v>0.16830000000000001</v>
      </c>
    </row>
    <row r="822" spans="1:11" x14ac:dyDescent="0.2">
      <c r="A822" s="822" t="s">
        <v>145</v>
      </c>
      <c r="B822" s="823"/>
      <c r="C822" s="820" t="s">
        <v>146</v>
      </c>
      <c r="D822" s="340" t="s">
        <v>147</v>
      </c>
      <c r="E822" s="818" t="s">
        <v>148</v>
      </c>
      <c r="F822" s="818"/>
      <c r="G822" s="819"/>
      <c r="H822" s="814" t="s">
        <v>149</v>
      </c>
      <c r="I822" s="815"/>
      <c r="J822" s="816"/>
      <c r="K822" s="812" t="s">
        <v>150</v>
      </c>
    </row>
    <row r="823" spans="1:11" x14ac:dyDescent="0.2">
      <c r="A823" s="826"/>
      <c r="B823" s="827"/>
      <c r="C823" s="821"/>
      <c r="D823" s="341"/>
      <c r="E823" s="378" t="s">
        <v>151</v>
      </c>
      <c r="F823" s="342" t="s">
        <v>152</v>
      </c>
      <c r="G823" s="343" t="s">
        <v>153</v>
      </c>
      <c r="H823" s="378" t="s">
        <v>151</v>
      </c>
      <c r="I823" s="342" t="s">
        <v>152</v>
      </c>
      <c r="J823" s="342" t="s">
        <v>153</v>
      </c>
      <c r="K823" s="813"/>
    </row>
    <row r="824" spans="1:11" x14ac:dyDescent="0.2">
      <c r="A824" s="319" t="s">
        <v>409</v>
      </c>
      <c r="B824" s="293" t="s">
        <v>410</v>
      </c>
      <c r="C824" s="363">
        <v>2.7E-4</v>
      </c>
      <c r="D824" s="345" t="s">
        <v>159</v>
      </c>
      <c r="E824" s="364">
        <v>1.17</v>
      </c>
      <c r="F824" s="365">
        <v>0.93</v>
      </c>
      <c r="G824" s="366">
        <v>0.75</v>
      </c>
      <c r="H824" s="367">
        <v>0</v>
      </c>
      <c r="I824" s="607">
        <v>0</v>
      </c>
      <c r="J824" s="368">
        <v>152</v>
      </c>
      <c r="K824" s="361">
        <f>ROUND((ROUND(E824*H824+F824*I824+G824*J824,2)*C824),4)</f>
        <v>3.0800000000000001E-2</v>
      </c>
    </row>
    <row r="825" spans="1:11" ht="33.75" x14ac:dyDescent="0.2">
      <c r="A825" s="323" t="s">
        <v>411</v>
      </c>
      <c r="B825" s="301" t="s">
        <v>408</v>
      </c>
      <c r="C825" s="363">
        <v>1.7999999999999999E-2</v>
      </c>
      <c r="D825" s="350" t="s">
        <v>159</v>
      </c>
      <c r="E825" s="369">
        <v>1.2</v>
      </c>
      <c r="F825" s="370">
        <v>0.96</v>
      </c>
      <c r="G825" s="371">
        <v>0.77</v>
      </c>
      <c r="H825" s="367">
        <v>0</v>
      </c>
      <c r="I825" s="607">
        <v>0</v>
      </c>
      <c r="J825" s="368">
        <v>10</v>
      </c>
      <c r="K825" s="322">
        <f>ROUND((ROUND(E825*H825+F825*I825+G825*J825,2)*C825),4)</f>
        <v>0.1386</v>
      </c>
    </row>
    <row r="826" spans="1:11" x14ac:dyDescent="0.2">
      <c r="A826" s="323"/>
      <c r="B826" s="301"/>
      <c r="C826" s="344"/>
      <c r="D826" s="350"/>
      <c r="E826" s="351"/>
      <c r="F826" s="352"/>
      <c r="G826" s="353"/>
      <c r="H826" s="379"/>
      <c r="I826" s="613"/>
      <c r="J826" s="349"/>
      <c r="K826" s="306"/>
    </row>
    <row r="827" spans="1:11" x14ac:dyDescent="0.2">
      <c r="A827" s="324"/>
      <c r="B827" s="309"/>
      <c r="C827" s="354"/>
      <c r="D827" s="355"/>
      <c r="E827" s="356"/>
      <c r="F827" s="357"/>
      <c r="G827" s="358"/>
      <c r="H827" s="379"/>
      <c r="I827" s="613"/>
      <c r="J827" s="349"/>
      <c r="K827" s="314"/>
    </row>
    <row r="828" spans="1:11" x14ac:dyDescent="0.2">
      <c r="A828" s="828" t="s">
        <v>154</v>
      </c>
      <c r="B828" s="808"/>
      <c r="C828" s="808"/>
      <c r="D828" s="829"/>
      <c r="E828" s="808"/>
      <c r="F828" s="808"/>
      <c r="G828" s="808"/>
      <c r="H828" s="808"/>
      <c r="I828" s="808"/>
      <c r="J828" s="809"/>
      <c r="K828" s="328">
        <f>SUM(K824:K827)</f>
        <v>0.1694</v>
      </c>
    </row>
    <row r="829" spans="1:11" x14ac:dyDescent="0.2">
      <c r="A829" s="807" t="s">
        <v>155</v>
      </c>
      <c r="B829" s="808"/>
      <c r="C829" s="808"/>
      <c r="D829" s="808"/>
      <c r="E829" s="808"/>
      <c r="F829" s="808"/>
      <c r="G829" s="808"/>
      <c r="H829" s="808"/>
      <c r="I829" s="808"/>
      <c r="J829" s="809"/>
      <c r="K829" s="359">
        <f>ROUND((K798+K799+K800+K807+K814+K821+K828),2)</f>
        <v>3.59</v>
      </c>
    </row>
    <row r="830" spans="1:11" x14ac:dyDescent="0.2">
      <c r="A830" s="807" t="s">
        <v>23</v>
      </c>
      <c r="B830" s="808"/>
      <c r="C830" s="808"/>
      <c r="D830" s="808"/>
      <c r="E830" s="808"/>
      <c r="F830" s="808"/>
      <c r="G830" s="808"/>
      <c r="H830" s="808"/>
      <c r="I830" s="808"/>
      <c r="J830" s="809"/>
      <c r="K830" s="359">
        <f>ROUND((K829*  26.76/100),4)</f>
        <v>0.9607</v>
      </c>
    </row>
    <row r="831" spans="1:11" x14ac:dyDescent="0.2">
      <c r="A831" s="807" t="s">
        <v>156</v>
      </c>
      <c r="B831" s="808"/>
      <c r="C831" s="808"/>
      <c r="D831" s="808"/>
      <c r="E831" s="808"/>
      <c r="F831" s="808"/>
      <c r="G831" s="808"/>
      <c r="H831" s="808"/>
      <c r="I831" s="808"/>
      <c r="J831" s="809"/>
      <c r="K831" s="359">
        <f>K829+K830</f>
        <v>4.5507</v>
      </c>
    </row>
    <row r="834" spans="1:11" ht="56.25" customHeight="1" x14ac:dyDescent="0.2">
      <c r="A834" s="804" t="s">
        <v>110</v>
      </c>
      <c r="B834" s="805"/>
      <c r="C834" s="805"/>
      <c r="D834" s="805"/>
      <c r="E834" s="805"/>
      <c r="F834" s="805"/>
      <c r="G834" s="805"/>
      <c r="H834" s="805"/>
      <c r="I834" s="805"/>
      <c r="J834" s="805"/>
      <c r="K834" s="806"/>
    </row>
    <row r="835" spans="1:11" ht="18" customHeight="1" x14ac:dyDescent="0.2">
      <c r="A835" s="275" t="s">
        <v>111</v>
      </c>
      <c r="B835" s="276"/>
      <c r="C835" s="802"/>
      <c r="D835" s="802"/>
      <c r="E835" s="802"/>
      <c r="F835" s="802"/>
      <c r="G835" s="802"/>
      <c r="H835" s="802"/>
      <c r="I835" s="802"/>
      <c r="J835" s="802"/>
      <c r="K835" s="803"/>
    </row>
    <row r="836" spans="1:11" ht="18" customHeight="1" x14ac:dyDescent="0.2">
      <c r="A836" s="275" t="s">
        <v>315</v>
      </c>
      <c r="B836" s="276"/>
      <c r="C836" s="277" t="s">
        <v>66</v>
      </c>
      <c r="E836" s="810" t="s">
        <v>316</v>
      </c>
      <c r="F836" s="810"/>
      <c r="G836" s="810"/>
      <c r="H836" s="279"/>
      <c r="I836" s="604" t="s">
        <v>112</v>
      </c>
      <c r="J836" s="810" t="s">
        <v>113</v>
      </c>
      <c r="K836" s="811"/>
    </row>
    <row r="837" spans="1:11" x14ac:dyDescent="0.2">
      <c r="A837" s="280" t="s">
        <v>114</v>
      </c>
      <c r="B837" s="281" t="s">
        <v>414</v>
      </c>
      <c r="C837" s="282"/>
      <c r="D837" s="282"/>
      <c r="E837" s="282"/>
      <c r="F837" s="282"/>
      <c r="G837" s="282"/>
      <c r="H837" s="282"/>
      <c r="I837" s="282"/>
      <c r="J837" s="282"/>
      <c r="K837" s="283"/>
    </row>
    <row r="838" spans="1:11" x14ac:dyDescent="0.2">
      <c r="A838" s="284" t="s">
        <v>115</v>
      </c>
      <c r="B838" s="285"/>
      <c r="D838" s="286"/>
      <c r="E838" s="286"/>
      <c r="F838" s="286"/>
      <c r="G838" s="286"/>
      <c r="H838" s="286"/>
      <c r="I838" s="603"/>
      <c r="J838" s="287" t="s">
        <v>52</v>
      </c>
      <c r="K838" s="288" t="s">
        <v>318</v>
      </c>
    </row>
    <row r="839" spans="1:11" ht="23.25" customHeight="1" x14ac:dyDescent="0.2">
      <c r="A839" s="869" t="s">
        <v>415</v>
      </c>
      <c r="B839" s="870"/>
      <c r="C839" s="870"/>
      <c r="D839" s="870"/>
      <c r="E839" s="870"/>
      <c r="F839" s="870"/>
      <c r="G839" s="870"/>
      <c r="H839" s="870"/>
      <c r="I839" s="871"/>
      <c r="J839" s="289" t="s">
        <v>116</v>
      </c>
      <c r="K839" s="288" t="s">
        <v>345</v>
      </c>
    </row>
    <row r="840" spans="1:11" x14ac:dyDescent="0.2">
      <c r="A840" s="826" t="s">
        <v>117</v>
      </c>
      <c r="B840" s="872"/>
      <c r="C840" s="839"/>
      <c r="D840" s="839"/>
      <c r="E840" s="823"/>
      <c r="F840" s="290" t="s">
        <v>54</v>
      </c>
      <c r="G840" s="873" t="s">
        <v>118</v>
      </c>
      <c r="H840" s="874"/>
      <c r="I840" s="813" t="s">
        <v>119</v>
      </c>
      <c r="J840" s="813"/>
      <c r="K840" s="867" t="s">
        <v>120</v>
      </c>
    </row>
    <row r="841" spans="1:11" ht="25.5" x14ac:dyDescent="0.2">
      <c r="A841" s="826"/>
      <c r="B841" s="872"/>
      <c r="C841" s="872"/>
      <c r="D841" s="872"/>
      <c r="E841" s="827"/>
      <c r="F841" s="290"/>
      <c r="G841" s="290" t="s">
        <v>121</v>
      </c>
      <c r="H841" s="381" t="s">
        <v>122</v>
      </c>
      <c r="I841" s="290" t="s">
        <v>123</v>
      </c>
      <c r="J841" s="290" t="s">
        <v>122</v>
      </c>
      <c r="K841" s="868"/>
    </row>
    <row r="842" spans="1:11" s="299" customFormat="1" x14ac:dyDescent="0.25">
      <c r="A842" s="291"/>
      <c r="B842" s="292"/>
      <c r="C842" s="292"/>
      <c r="D842" s="292"/>
      <c r="E842" s="293"/>
      <c r="F842" s="294"/>
      <c r="G842" s="295"/>
      <c r="H842" s="296"/>
      <c r="I842" s="602"/>
      <c r="J842" s="297"/>
      <c r="K842" s="298"/>
    </row>
    <row r="843" spans="1:11" s="299" customFormat="1" x14ac:dyDescent="0.25">
      <c r="A843" s="300"/>
      <c r="B843" s="301"/>
      <c r="C843" s="301"/>
      <c r="D843" s="301"/>
      <c r="E843" s="302"/>
      <c r="F843" s="303"/>
      <c r="G843" s="304"/>
      <c r="H843" s="305"/>
      <c r="I843" s="600"/>
      <c r="J843" s="306"/>
      <c r="K843" s="307"/>
    </row>
    <row r="844" spans="1:11" s="299" customFormat="1" x14ac:dyDescent="0.25">
      <c r="A844" s="300"/>
      <c r="B844" s="301"/>
      <c r="C844" s="301"/>
      <c r="D844" s="301"/>
      <c r="E844" s="302"/>
      <c r="F844" s="303"/>
      <c r="G844" s="304"/>
      <c r="H844" s="305"/>
      <c r="I844" s="600"/>
      <c r="J844" s="306"/>
      <c r="K844" s="307"/>
    </row>
    <row r="845" spans="1:11" s="299" customFormat="1" x14ac:dyDescent="0.25">
      <c r="A845" s="300"/>
      <c r="B845" s="301"/>
      <c r="C845" s="301"/>
      <c r="D845" s="301"/>
      <c r="E845" s="302"/>
      <c r="F845" s="303"/>
      <c r="G845" s="304"/>
      <c r="H845" s="305"/>
      <c r="I845" s="600"/>
      <c r="J845" s="306"/>
      <c r="K845" s="307"/>
    </row>
    <row r="846" spans="1:11" s="299" customFormat="1" x14ac:dyDescent="0.25">
      <c r="A846" s="300"/>
      <c r="B846" s="301"/>
      <c r="C846" s="301"/>
      <c r="D846" s="301"/>
      <c r="E846" s="302"/>
      <c r="F846" s="303"/>
      <c r="G846" s="304"/>
      <c r="H846" s="305"/>
      <c r="I846" s="600"/>
      <c r="J846" s="306"/>
      <c r="K846" s="307"/>
    </row>
    <row r="847" spans="1:11" s="299" customFormat="1" x14ac:dyDescent="0.25">
      <c r="A847" s="300"/>
      <c r="B847" s="301"/>
      <c r="C847" s="301"/>
      <c r="D847" s="301"/>
      <c r="E847" s="302"/>
      <c r="F847" s="303"/>
      <c r="G847" s="304"/>
      <c r="H847" s="305"/>
      <c r="I847" s="600"/>
      <c r="J847" s="306"/>
      <c r="K847" s="307"/>
    </row>
    <row r="848" spans="1:11" s="299" customFormat="1" x14ac:dyDescent="0.25">
      <c r="A848" s="300"/>
      <c r="B848" s="301"/>
      <c r="C848" s="301"/>
      <c r="D848" s="301"/>
      <c r="E848" s="302"/>
      <c r="F848" s="303"/>
      <c r="G848" s="304"/>
      <c r="H848" s="305"/>
      <c r="I848" s="600"/>
      <c r="J848" s="306"/>
      <c r="K848" s="307"/>
    </row>
    <row r="849" spans="1:11" s="299" customFormat="1" x14ac:dyDescent="0.25">
      <c r="A849" s="308"/>
      <c r="B849" s="309"/>
      <c r="C849" s="309"/>
      <c r="D849" s="309"/>
      <c r="E849" s="310"/>
      <c r="F849" s="311"/>
      <c r="G849" s="312"/>
      <c r="H849" s="313"/>
      <c r="I849" s="611"/>
      <c r="J849" s="314"/>
      <c r="K849" s="315"/>
    </row>
    <row r="850" spans="1:11" x14ac:dyDescent="0.2">
      <c r="A850" s="861" t="s">
        <v>124</v>
      </c>
      <c r="B850" s="862"/>
      <c r="C850" s="862"/>
      <c r="D850" s="862"/>
      <c r="E850" s="862"/>
      <c r="F850" s="837"/>
      <c r="G850" s="837"/>
      <c r="H850" s="837"/>
      <c r="I850" s="837"/>
      <c r="J850" s="838"/>
      <c r="K850" s="316"/>
    </row>
    <row r="851" spans="1:11" ht="15.75" customHeight="1" x14ac:dyDescent="0.2">
      <c r="A851" s="822" t="s">
        <v>125</v>
      </c>
      <c r="B851" s="839"/>
      <c r="C851" s="839"/>
      <c r="D851" s="839"/>
      <c r="E851" s="839"/>
      <c r="F851" s="317"/>
      <c r="G851" s="317"/>
      <c r="H851" s="863" t="s">
        <v>54</v>
      </c>
      <c r="I851" s="865" t="s">
        <v>126</v>
      </c>
      <c r="J851" s="867" t="s">
        <v>127</v>
      </c>
      <c r="K851" s="867" t="s">
        <v>120</v>
      </c>
    </row>
    <row r="852" spans="1:11" ht="21.75" customHeight="1" x14ac:dyDescent="0.25">
      <c r="A852" s="824"/>
      <c r="B852" s="840"/>
      <c r="C852" s="840"/>
      <c r="D852" s="840"/>
      <c r="E852" s="840"/>
      <c r="F852" s="318"/>
      <c r="G852" s="269"/>
      <c r="H852" s="864"/>
      <c r="I852" s="866"/>
      <c r="J852" s="868"/>
      <c r="K852" s="868"/>
    </row>
    <row r="853" spans="1:11" x14ac:dyDescent="0.2">
      <c r="A853" s="319"/>
      <c r="B853" s="859"/>
      <c r="C853" s="859"/>
      <c r="D853" s="859"/>
      <c r="E853" s="859"/>
      <c r="F853" s="859"/>
      <c r="G853" s="860"/>
      <c r="H853" s="320"/>
      <c r="I853" s="609"/>
      <c r="J853" s="321"/>
      <c r="K853" s="322"/>
    </row>
    <row r="854" spans="1:11" x14ac:dyDescent="0.2">
      <c r="A854" s="323"/>
      <c r="B854" s="849"/>
      <c r="C854" s="849"/>
      <c r="D854" s="849"/>
      <c r="E854" s="849"/>
      <c r="F854" s="849"/>
      <c r="G854" s="850"/>
      <c r="H854" s="320"/>
      <c r="I854" s="609"/>
      <c r="J854" s="306"/>
      <c r="K854" s="306"/>
    </row>
    <row r="855" spans="1:11" x14ac:dyDescent="0.2">
      <c r="A855" s="323"/>
      <c r="B855" s="849"/>
      <c r="C855" s="849"/>
      <c r="D855" s="849"/>
      <c r="E855" s="849"/>
      <c r="F855" s="849"/>
      <c r="G855" s="850"/>
      <c r="H855" s="320"/>
      <c r="I855" s="609"/>
      <c r="J855" s="306"/>
      <c r="K855" s="306"/>
    </row>
    <row r="856" spans="1:11" x14ac:dyDescent="0.2">
      <c r="A856" s="323"/>
      <c r="B856" s="849"/>
      <c r="C856" s="849"/>
      <c r="D856" s="849"/>
      <c r="E856" s="849"/>
      <c r="F856" s="849"/>
      <c r="G856" s="850"/>
      <c r="H856" s="320"/>
      <c r="I856" s="609"/>
      <c r="J856" s="306"/>
      <c r="K856" s="306"/>
    </row>
    <row r="857" spans="1:11" x14ac:dyDescent="0.2">
      <c r="A857" s="323"/>
      <c r="B857" s="849"/>
      <c r="C857" s="849"/>
      <c r="D857" s="849"/>
      <c r="E857" s="849"/>
      <c r="F857" s="849"/>
      <c r="G857" s="850"/>
      <c r="H857" s="320"/>
      <c r="I857" s="609"/>
      <c r="J857" s="306"/>
      <c r="K857" s="306"/>
    </row>
    <row r="858" spans="1:11" x14ac:dyDescent="0.2">
      <c r="A858" s="323"/>
      <c r="B858" s="849"/>
      <c r="C858" s="849"/>
      <c r="D858" s="849"/>
      <c r="E858" s="849"/>
      <c r="F858" s="849"/>
      <c r="G858" s="850"/>
      <c r="H858" s="320"/>
      <c r="I858" s="609"/>
      <c r="J858" s="306"/>
      <c r="K858" s="306"/>
    </row>
    <row r="859" spans="1:11" x14ac:dyDescent="0.2">
      <c r="A859" s="323"/>
      <c r="B859" s="849"/>
      <c r="C859" s="849"/>
      <c r="D859" s="849"/>
      <c r="E859" s="849"/>
      <c r="F859" s="849"/>
      <c r="G859" s="850"/>
      <c r="H859" s="320"/>
      <c r="I859" s="609"/>
      <c r="J859" s="306"/>
      <c r="K859" s="306"/>
    </row>
    <row r="860" spans="1:11" x14ac:dyDescent="0.2">
      <c r="A860" s="324"/>
      <c r="B860" s="851"/>
      <c r="C860" s="851"/>
      <c r="D860" s="851"/>
      <c r="E860" s="851"/>
      <c r="F860" s="851"/>
      <c r="G860" s="852"/>
      <c r="H860" s="325"/>
      <c r="I860" s="608"/>
      <c r="J860" s="314"/>
      <c r="K860" s="314"/>
    </row>
    <row r="861" spans="1:11" ht="15" x14ac:dyDescent="0.25">
      <c r="A861" s="326"/>
      <c r="C861" s="270"/>
      <c r="D861" s="836" t="s">
        <v>131</v>
      </c>
      <c r="E861" s="837"/>
      <c r="F861" s="837"/>
      <c r="G861" s="837"/>
      <c r="H861" s="837"/>
      <c r="I861" s="837"/>
      <c r="J861" s="838"/>
      <c r="K861" s="328"/>
    </row>
    <row r="862" spans="1:11" x14ac:dyDescent="0.2">
      <c r="A862" s="326" t="s">
        <v>132</v>
      </c>
      <c r="B862" s="329"/>
      <c r="C862" s="330">
        <v>1</v>
      </c>
      <c r="D862" s="853" t="s">
        <v>133</v>
      </c>
      <c r="E862" s="854"/>
      <c r="F862" s="854"/>
      <c r="G862" s="854"/>
      <c r="H862" s="854"/>
      <c r="I862" s="854"/>
      <c r="J862" s="855"/>
      <c r="K862" s="328"/>
    </row>
    <row r="863" spans="1:11" x14ac:dyDescent="0.2">
      <c r="A863" s="331"/>
      <c r="B863" s="329"/>
      <c r="C863" s="332"/>
      <c r="D863" s="856" t="s">
        <v>134</v>
      </c>
      <c r="E863" s="856"/>
      <c r="F863" s="857"/>
      <c r="G863" s="857"/>
      <c r="H863" s="857"/>
      <c r="I863" s="857"/>
      <c r="J863" s="858"/>
      <c r="K863" s="328"/>
    </row>
    <row r="864" spans="1:11" x14ac:dyDescent="0.2">
      <c r="A864" s="822" t="s">
        <v>137</v>
      </c>
      <c r="B864" s="839"/>
      <c r="C864" s="839"/>
      <c r="D864" s="839"/>
      <c r="E864" s="839"/>
      <c r="F864" s="841"/>
      <c r="G864" s="843" t="s">
        <v>42</v>
      </c>
      <c r="H864" s="844"/>
      <c r="I864" s="831" t="s">
        <v>126</v>
      </c>
      <c r="J864" s="830" t="s">
        <v>138</v>
      </c>
      <c r="K864" s="830" t="s">
        <v>139</v>
      </c>
    </row>
    <row r="865" spans="1:11" x14ac:dyDescent="0.2">
      <c r="A865" s="824"/>
      <c r="B865" s="840"/>
      <c r="C865" s="840"/>
      <c r="D865" s="840"/>
      <c r="E865" s="840"/>
      <c r="F865" s="842"/>
      <c r="G865" s="845"/>
      <c r="H865" s="846"/>
      <c r="I865" s="831"/>
      <c r="J865" s="830"/>
      <c r="K865" s="831"/>
    </row>
    <row r="866" spans="1:11" x14ac:dyDescent="0.2">
      <c r="A866" s="323" t="s">
        <v>416</v>
      </c>
      <c r="B866" s="301" t="s">
        <v>417</v>
      </c>
      <c r="C866" s="301"/>
      <c r="D866" s="301"/>
      <c r="E866" s="301"/>
      <c r="F866" s="293"/>
      <c r="G866" s="847">
        <v>1</v>
      </c>
      <c r="H866" s="848"/>
      <c r="I866" s="599" t="s">
        <v>345</v>
      </c>
      <c r="J866" s="360">
        <v>5673.53</v>
      </c>
      <c r="K866" s="361">
        <f>ROUND((G866*J866),4)</f>
        <v>5673.53</v>
      </c>
    </row>
    <row r="867" spans="1:11" x14ac:dyDescent="0.2">
      <c r="A867" s="323"/>
      <c r="B867" s="301"/>
      <c r="C867" s="301"/>
      <c r="D867" s="301"/>
      <c r="E867" s="301"/>
      <c r="F867" s="302"/>
      <c r="G867" s="832"/>
      <c r="H867" s="833"/>
      <c r="I867" s="606"/>
      <c r="J867" s="337"/>
      <c r="K867" s="306"/>
    </row>
    <row r="868" spans="1:11" x14ac:dyDescent="0.2">
      <c r="A868" s="323"/>
      <c r="B868" s="301"/>
      <c r="C868" s="301"/>
      <c r="D868" s="301"/>
      <c r="E868" s="301"/>
      <c r="F868" s="302"/>
      <c r="G868" s="832"/>
      <c r="H868" s="833"/>
      <c r="I868" s="606"/>
      <c r="J868" s="337"/>
      <c r="K868" s="306"/>
    </row>
    <row r="869" spans="1:11" x14ac:dyDescent="0.2">
      <c r="A869" s="323"/>
      <c r="B869" s="301"/>
      <c r="C869" s="301"/>
      <c r="D869" s="301"/>
      <c r="E869" s="301"/>
      <c r="F869" s="302"/>
      <c r="G869" s="832"/>
      <c r="H869" s="833"/>
      <c r="I869" s="606"/>
      <c r="J869" s="337"/>
      <c r="K869" s="306"/>
    </row>
    <row r="870" spans="1:11" x14ac:dyDescent="0.2">
      <c r="A870" s="836" t="s">
        <v>140</v>
      </c>
      <c r="B870" s="837"/>
      <c r="C870" s="837"/>
      <c r="D870" s="837"/>
      <c r="E870" s="837"/>
      <c r="F870" s="837"/>
      <c r="G870" s="837"/>
      <c r="H870" s="837"/>
      <c r="I870" s="837"/>
      <c r="J870" s="838"/>
      <c r="K870" s="328">
        <f>SUM(K866:K869)</f>
        <v>5673.53</v>
      </c>
    </row>
    <row r="871" spans="1:11" x14ac:dyDescent="0.2">
      <c r="A871" s="822" t="s">
        <v>141</v>
      </c>
      <c r="B871" s="839"/>
      <c r="C871" s="839"/>
      <c r="D871" s="839"/>
      <c r="E871" s="839"/>
      <c r="F871" s="841"/>
      <c r="G871" s="843" t="s">
        <v>42</v>
      </c>
      <c r="H871" s="844"/>
      <c r="I871" s="831" t="s">
        <v>126</v>
      </c>
      <c r="J871" s="830" t="s">
        <v>138</v>
      </c>
      <c r="K871" s="830" t="s">
        <v>139</v>
      </c>
    </row>
    <row r="872" spans="1:11" x14ac:dyDescent="0.2">
      <c r="A872" s="824"/>
      <c r="B872" s="840"/>
      <c r="C872" s="840"/>
      <c r="D872" s="840"/>
      <c r="E872" s="840"/>
      <c r="F872" s="842"/>
      <c r="G872" s="845"/>
      <c r="H872" s="846"/>
      <c r="I872" s="831"/>
      <c r="J872" s="830"/>
      <c r="K872" s="831"/>
    </row>
    <row r="873" spans="1:11" x14ac:dyDescent="0.2">
      <c r="A873" s="323"/>
      <c r="B873" s="301"/>
      <c r="C873" s="301"/>
      <c r="D873" s="301"/>
      <c r="E873" s="301"/>
      <c r="F873" s="302"/>
      <c r="G873" s="832"/>
      <c r="H873" s="833"/>
      <c r="I873" s="606"/>
      <c r="J873" s="337"/>
      <c r="K873" s="306"/>
    </row>
    <row r="874" spans="1:11" x14ac:dyDescent="0.2">
      <c r="A874" s="323"/>
      <c r="B874" s="301"/>
      <c r="C874" s="301"/>
      <c r="D874" s="301"/>
      <c r="E874" s="301"/>
      <c r="F874" s="302"/>
      <c r="G874" s="832"/>
      <c r="H874" s="833"/>
      <c r="I874" s="606"/>
      <c r="J874" s="337"/>
      <c r="K874" s="306"/>
    </row>
    <row r="875" spans="1:11" x14ac:dyDescent="0.2">
      <c r="A875" s="323"/>
      <c r="B875" s="301"/>
      <c r="C875" s="301"/>
      <c r="D875" s="301"/>
      <c r="E875" s="301"/>
      <c r="F875" s="302"/>
      <c r="G875" s="832"/>
      <c r="H875" s="833"/>
      <c r="I875" s="606"/>
      <c r="J875" s="337"/>
      <c r="K875" s="306"/>
    </row>
    <row r="876" spans="1:11" x14ac:dyDescent="0.2">
      <c r="A876" s="324"/>
      <c r="B876" s="309"/>
      <c r="C876" s="309"/>
      <c r="D876" s="309"/>
      <c r="E876" s="309"/>
      <c r="F876" s="310"/>
      <c r="G876" s="834"/>
      <c r="H876" s="835"/>
      <c r="I876" s="605"/>
      <c r="J876" s="339"/>
      <c r="K876" s="314"/>
    </row>
    <row r="877" spans="1:11" x14ac:dyDescent="0.2">
      <c r="A877" s="836" t="s">
        <v>142</v>
      </c>
      <c r="B877" s="837"/>
      <c r="C877" s="837"/>
      <c r="D877" s="837"/>
      <c r="E877" s="837"/>
      <c r="F877" s="837"/>
      <c r="G877" s="837"/>
      <c r="H877" s="837"/>
      <c r="I877" s="837"/>
      <c r="J877" s="838"/>
      <c r="K877" s="338"/>
    </row>
    <row r="878" spans="1:11" x14ac:dyDescent="0.2">
      <c r="A878" s="822" t="s">
        <v>143</v>
      </c>
      <c r="B878" s="839"/>
      <c r="C878" s="839"/>
      <c r="D878" s="839"/>
      <c r="E878" s="839"/>
      <c r="F878" s="841"/>
      <c r="G878" s="843" t="s">
        <v>42</v>
      </c>
      <c r="H878" s="844"/>
      <c r="I878" s="831" t="s">
        <v>126</v>
      </c>
      <c r="J878" s="830" t="s">
        <v>138</v>
      </c>
      <c r="K878" s="830" t="s">
        <v>139</v>
      </c>
    </row>
    <row r="879" spans="1:11" x14ac:dyDescent="0.2">
      <c r="A879" s="824"/>
      <c r="B879" s="840"/>
      <c r="C879" s="840"/>
      <c r="D879" s="840"/>
      <c r="E879" s="840"/>
      <c r="F879" s="842"/>
      <c r="G879" s="845"/>
      <c r="H879" s="846"/>
      <c r="I879" s="831"/>
      <c r="J879" s="830"/>
      <c r="K879" s="831"/>
    </row>
    <row r="880" spans="1:11" x14ac:dyDescent="0.2">
      <c r="A880" s="323"/>
      <c r="B880" s="301"/>
      <c r="C880" s="301"/>
      <c r="D880" s="301"/>
      <c r="E880" s="301"/>
      <c r="F880" s="302"/>
      <c r="G880" s="832"/>
      <c r="H880" s="833"/>
      <c r="I880" s="606"/>
      <c r="J880" s="337"/>
      <c r="K880" s="306"/>
    </row>
    <row r="881" spans="1:11" x14ac:dyDescent="0.2">
      <c r="A881" s="323"/>
      <c r="B881" s="301"/>
      <c r="C881" s="301"/>
      <c r="D881" s="301"/>
      <c r="E881" s="301"/>
      <c r="F881" s="302"/>
      <c r="G881" s="832"/>
      <c r="H881" s="833"/>
      <c r="I881" s="606"/>
      <c r="J881" s="337"/>
      <c r="K881" s="306"/>
    </row>
    <row r="882" spans="1:11" x14ac:dyDescent="0.2">
      <c r="A882" s="323"/>
      <c r="B882" s="301"/>
      <c r="C882" s="301"/>
      <c r="D882" s="301"/>
      <c r="E882" s="301"/>
      <c r="F882" s="302"/>
      <c r="G882" s="832"/>
      <c r="H882" s="833"/>
      <c r="I882" s="606"/>
      <c r="J882" s="337"/>
      <c r="K882" s="306"/>
    </row>
    <row r="883" spans="1:11" x14ac:dyDescent="0.2">
      <c r="A883" s="324"/>
      <c r="B883" s="309"/>
      <c r="C883" s="309"/>
      <c r="D883" s="309"/>
      <c r="E883" s="309"/>
      <c r="F883" s="310"/>
      <c r="G883" s="834"/>
      <c r="H883" s="835"/>
      <c r="I883" s="605"/>
      <c r="J883" s="339"/>
      <c r="K883" s="314"/>
    </row>
    <row r="884" spans="1:11" x14ac:dyDescent="0.2">
      <c r="A884" s="836" t="s">
        <v>144</v>
      </c>
      <c r="B884" s="837"/>
      <c r="C884" s="837"/>
      <c r="D884" s="837"/>
      <c r="E884" s="837"/>
      <c r="F884" s="837"/>
      <c r="G884" s="837"/>
      <c r="H884" s="837"/>
      <c r="I884" s="837"/>
      <c r="J884" s="838"/>
      <c r="K884" s="338"/>
    </row>
    <row r="885" spans="1:11" x14ac:dyDescent="0.2">
      <c r="A885" s="822" t="s">
        <v>145</v>
      </c>
      <c r="B885" s="823"/>
      <c r="C885" s="820" t="s">
        <v>146</v>
      </c>
      <c r="D885" s="340" t="s">
        <v>147</v>
      </c>
      <c r="E885" s="818" t="s">
        <v>148</v>
      </c>
      <c r="F885" s="818"/>
      <c r="G885" s="819"/>
      <c r="H885" s="814" t="s">
        <v>149</v>
      </c>
      <c r="I885" s="815"/>
      <c r="J885" s="816"/>
      <c r="K885" s="812" t="s">
        <v>150</v>
      </c>
    </row>
    <row r="886" spans="1:11" x14ac:dyDescent="0.2">
      <c r="A886" s="826"/>
      <c r="B886" s="827"/>
      <c r="C886" s="821"/>
      <c r="D886" s="341"/>
      <c r="E886" s="378" t="s">
        <v>151</v>
      </c>
      <c r="F886" s="342" t="s">
        <v>152</v>
      </c>
      <c r="G886" s="343" t="s">
        <v>153</v>
      </c>
      <c r="H886" s="378" t="s">
        <v>151</v>
      </c>
      <c r="I886" s="342" t="s">
        <v>152</v>
      </c>
      <c r="J886" s="342" t="s">
        <v>153</v>
      </c>
      <c r="K886" s="813"/>
    </row>
    <row r="887" spans="1:11" x14ac:dyDescent="0.2">
      <c r="A887" s="319"/>
      <c r="B887" s="293"/>
      <c r="C887" s="344"/>
      <c r="D887" s="345"/>
      <c r="E887" s="346"/>
      <c r="F887" s="347"/>
      <c r="G887" s="348"/>
      <c r="H887" s="379"/>
      <c r="I887" s="613"/>
      <c r="J887" s="349"/>
      <c r="K887" s="336"/>
    </row>
    <row r="888" spans="1:11" x14ac:dyDescent="0.2">
      <c r="A888" s="323"/>
      <c r="B888" s="301"/>
      <c r="C888" s="344"/>
      <c r="D888" s="350"/>
      <c r="E888" s="351"/>
      <c r="F888" s="352"/>
      <c r="G888" s="353"/>
      <c r="H888" s="379"/>
      <c r="I888" s="613"/>
      <c r="J888" s="349"/>
      <c r="K888" s="306"/>
    </row>
    <row r="889" spans="1:11" x14ac:dyDescent="0.2">
      <c r="A889" s="323"/>
      <c r="B889" s="301"/>
      <c r="C889" s="344"/>
      <c r="D889" s="350"/>
      <c r="E889" s="351"/>
      <c r="F889" s="352"/>
      <c r="G889" s="353"/>
      <c r="H889" s="379"/>
      <c r="I889" s="613"/>
      <c r="J889" s="349"/>
      <c r="K889" s="306"/>
    </row>
    <row r="890" spans="1:11" x14ac:dyDescent="0.2">
      <c r="A890" s="324"/>
      <c r="B890" s="309"/>
      <c r="C890" s="354"/>
      <c r="D890" s="355"/>
      <c r="E890" s="356"/>
      <c r="F890" s="357"/>
      <c r="G890" s="358"/>
      <c r="H890" s="379"/>
      <c r="I890" s="613"/>
      <c r="J890" s="349"/>
      <c r="K890" s="314"/>
    </row>
    <row r="891" spans="1:11" x14ac:dyDescent="0.2">
      <c r="A891" s="828" t="s">
        <v>154</v>
      </c>
      <c r="B891" s="808"/>
      <c r="C891" s="808"/>
      <c r="D891" s="829"/>
      <c r="E891" s="808"/>
      <c r="F891" s="808"/>
      <c r="G891" s="808"/>
      <c r="H891" s="808"/>
      <c r="I891" s="808"/>
      <c r="J891" s="809"/>
      <c r="K891" s="338"/>
    </row>
    <row r="892" spans="1:11" x14ac:dyDescent="0.2">
      <c r="A892" s="807" t="s">
        <v>155</v>
      </c>
      <c r="B892" s="808"/>
      <c r="C892" s="808"/>
      <c r="D892" s="808"/>
      <c r="E892" s="808"/>
      <c r="F892" s="808"/>
      <c r="G892" s="808"/>
      <c r="H892" s="808"/>
      <c r="I892" s="808"/>
      <c r="J892" s="809"/>
      <c r="K892" s="359">
        <f>ROUND((K870),2)</f>
        <v>5673.53</v>
      </c>
    </row>
    <row r="893" spans="1:11" x14ac:dyDescent="0.2">
      <c r="A893" s="807" t="s">
        <v>23</v>
      </c>
      <c r="B893" s="808"/>
      <c r="C893" s="808"/>
      <c r="D893" s="808"/>
      <c r="E893" s="808"/>
      <c r="F893" s="808"/>
      <c r="G893" s="808"/>
      <c r="H893" s="808"/>
      <c r="I893" s="808"/>
      <c r="J893" s="809"/>
      <c r="K893" s="359">
        <f>ROUND((K892*  10.37/100),4)</f>
        <v>588.3451</v>
      </c>
    </row>
    <row r="894" spans="1:11" x14ac:dyDescent="0.2">
      <c r="A894" s="807" t="s">
        <v>156</v>
      </c>
      <c r="B894" s="808"/>
      <c r="C894" s="808"/>
      <c r="D894" s="808"/>
      <c r="E894" s="808"/>
      <c r="F894" s="808"/>
      <c r="G894" s="808"/>
      <c r="H894" s="808"/>
      <c r="I894" s="808"/>
      <c r="J894" s="809"/>
      <c r="K894" s="359">
        <f>K892+K893</f>
        <v>6261.8750999999993</v>
      </c>
    </row>
    <row r="897" spans="1:11" ht="56.25" customHeight="1" x14ac:dyDescent="0.2">
      <c r="A897" s="804" t="s">
        <v>110</v>
      </c>
      <c r="B897" s="805"/>
      <c r="C897" s="805"/>
      <c r="D897" s="805"/>
      <c r="E897" s="805"/>
      <c r="F897" s="805"/>
      <c r="G897" s="805"/>
      <c r="H897" s="805"/>
      <c r="I897" s="805"/>
      <c r="J897" s="805"/>
      <c r="K897" s="806"/>
    </row>
    <row r="898" spans="1:11" ht="18" customHeight="1" x14ac:dyDescent="0.2">
      <c r="A898" s="275" t="s">
        <v>111</v>
      </c>
      <c r="B898" s="276"/>
      <c r="C898" s="802"/>
      <c r="D898" s="802"/>
      <c r="E898" s="802"/>
      <c r="F898" s="802"/>
      <c r="G898" s="802"/>
      <c r="H898" s="802"/>
      <c r="I898" s="802"/>
      <c r="J898" s="802"/>
      <c r="K898" s="803"/>
    </row>
    <row r="899" spans="1:11" ht="18" customHeight="1" x14ac:dyDescent="0.2">
      <c r="A899" s="275" t="s">
        <v>315</v>
      </c>
      <c r="B899" s="276"/>
      <c r="C899" s="277" t="s">
        <v>66</v>
      </c>
      <c r="E899" s="810" t="s">
        <v>316</v>
      </c>
      <c r="F899" s="810"/>
      <c r="G899" s="810"/>
      <c r="H899" s="279"/>
      <c r="I899" s="604" t="s">
        <v>112</v>
      </c>
      <c r="J899" s="810" t="s">
        <v>113</v>
      </c>
      <c r="K899" s="811"/>
    </row>
    <row r="900" spans="1:11" x14ac:dyDescent="0.2">
      <c r="A900" s="280" t="s">
        <v>114</v>
      </c>
      <c r="B900" s="281" t="s">
        <v>418</v>
      </c>
      <c r="C900" s="282"/>
      <c r="D900" s="282"/>
      <c r="E900" s="282"/>
      <c r="F900" s="282"/>
      <c r="G900" s="282"/>
      <c r="H900" s="282"/>
      <c r="I900" s="282"/>
      <c r="J900" s="282"/>
      <c r="K900" s="283"/>
    </row>
    <row r="901" spans="1:11" x14ac:dyDescent="0.2">
      <c r="A901" s="284" t="s">
        <v>115</v>
      </c>
      <c r="B901" s="285"/>
      <c r="D901" s="286"/>
      <c r="E901" s="286"/>
      <c r="F901" s="286"/>
      <c r="G901" s="286"/>
      <c r="H901" s="286"/>
      <c r="I901" s="603"/>
      <c r="J901" s="287" t="s">
        <v>52</v>
      </c>
      <c r="K901" s="288" t="s">
        <v>318</v>
      </c>
    </row>
    <row r="902" spans="1:11" ht="23.25" customHeight="1" x14ac:dyDescent="0.2">
      <c r="A902" s="869" t="s">
        <v>419</v>
      </c>
      <c r="B902" s="870"/>
      <c r="C902" s="870"/>
      <c r="D902" s="870"/>
      <c r="E902" s="870"/>
      <c r="F902" s="870"/>
      <c r="G902" s="870"/>
      <c r="H902" s="870"/>
      <c r="I902" s="871"/>
      <c r="J902" s="289" t="s">
        <v>116</v>
      </c>
      <c r="K902" s="288" t="s">
        <v>345</v>
      </c>
    </row>
    <row r="903" spans="1:11" x14ac:dyDescent="0.2">
      <c r="A903" s="826" t="s">
        <v>117</v>
      </c>
      <c r="B903" s="872"/>
      <c r="C903" s="839"/>
      <c r="D903" s="839"/>
      <c r="E903" s="823"/>
      <c r="F903" s="290" t="s">
        <v>54</v>
      </c>
      <c r="G903" s="873" t="s">
        <v>118</v>
      </c>
      <c r="H903" s="874"/>
      <c r="I903" s="813" t="s">
        <v>119</v>
      </c>
      <c r="J903" s="813"/>
      <c r="K903" s="867" t="s">
        <v>120</v>
      </c>
    </row>
    <row r="904" spans="1:11" ht="25.5" x14ac:dyDescent="0.2">
      <c r="A904" s="826"/>
      <c r="B904" s="872"/>
      <c r="C904" s="872"/>
      <c r="D904" s="872"/>
      <c r="E904" s="827"/>
      <c r="F904" s="290"/>
      <c r="G904" s="290" t="s">
        <v>121</v>
      </c>
      <c r="H904" s="381" t="s">
        <v>122</v>
      </c>
      <c r="I904" s="290" t="s">
        <v>123</v>
      </c>
      <c r="J904" s="290" t="s">
        <v>122</v>
      </c>
      <c r="K904" s="868"/>
    </row>
    <row r="905" spans="1:11" s="299" customFormat="1" x14ac:dyDescent="0.25">
      <c r="A905" s="291"/>
      <c r="B905" s="292"/>
      <c r="C905" s="292"/>
      <c r="D905" s="292"/>
      <c r="E905" s="293"/>
      <c r="F905" s="294"/>
      <c r="G905" s="295"/>
      <c r="H905" s="296"/>
      <c r="I905" s="602"/>
      <c r="J905" s="297"/>
      <c r="K905" s="298"/>
    </row>
    <row r="906" spans="1:11" s="299" customFormat="1" x14ac:dyDescent="0.25">
      <c r="A906" s="300"/>
      <c r="B906" s="301"/>
      <c r="C906" s="301"/>
      <c r="D906" s="301"/>
      <c r="E906" s="302"/>
      <c r="F906" s="303"/>
      <c r="G906" s="304"/>
      <c r="H906" s="305"/>
      <c r="I906" s="600"/>
      <c r="J906" s="306"/>
      <c r="K906" s="307"/>
    </row>
    <row r="907" spans="1:11" s="299" customFormat="1" x14ac:dyDescent="0.25">
      <c r="A907" s="300"/>
      <c r="B907" s="301"/>
      <c r="C907" s="301"/>
      <c r="D907" s="301"/>
      <c r="E907" s="302"/>
      <c r="F907" s="303"/>
      <c r="G907" s="304"/>
      <c r="H907" s="305"/>
      <c r="I907" s="600"/>
      <c r="J907" s="306"/>
      <c r="K907" s="307"/>
    </row>
    <row r="908" spans="1:11" s="299" customFormat="1" x14ac:dyDescent="0.25">
      <c r="A908" s="300"/>
      <c r="B908" s="301"/>
      <c r="C908" s="301"/>
      <c r="D908" s="301"/>
      <c r="E908" s="302"/>
      <c r="F908" s="303"/>
      <c r="G908" s="304"/>
      <c r="H908" s="305"/>
      <c r="I908" s="600"/>
      <c r="J908" s="306"/>
      <c r="K908" s="307"/>
    </row>
    <row r="909" spans="1:11" s="299" customFormat="1" x14ac:dyDescent="0.25">
      <c r="A909" s="300"/>
      <c r="B909" s="301"/>
      <c r="C909" s="301"/>
      <c r="D909" s="301"/>
      <c r="E909" s="302"/>
      <c r="F909" s="303"/>
      <c r="G909" s="304"/>
      <c r="H909" s="305"/>
      <c r="I909" s="600"/>
      <c r="J909" s="306"/>
      <c r="K909" s="307"/>
    </row>
    <row r="910" spans="1:11" s="299" customFormat="1" x14ac:dyDescent="0.25">
      <c r="A910" s="300"/>
      <c r="B910" s="301"/>
      <c r="C910" s="301"/>
      <c r="D910" s="301"/>
      <c r="E910" s="302"/>
      <c r="F910" s="303"/>
      <c r="G910" s="304"/>
      <c r="H910" s="305"/>
      <c r="I910" s="600"/>
      <c r="J910" s="306"/>
      <c r="K910" s="307"/>
    </row>
    <row r="911" spans="1:11" s="299" customFormat="1" x14ac:dyDescent="0.25">
      <c r="A911" s="300"/>
      <c r="B911" s="301"/>
      <c r="C911" s="301"/>
      <c r="D911" s="301"/>
      <c r="E911" s="302"/>
      <c r="F911" s="303"/>
      <c r="G911" s="304"/>
      <c r="H911" s="305"/>
      <c r="I911" s="600"/>
      <c r="J911" s="306"/>
      <c r="K911" s="307"/>
    </row>
    <row r="912" spans="1:11" s="299" customFormat="1" x14ac:dyDescent="0.25">
      <c r="A912" s="308"/>
      <c r="B912" s="309"/>
      <c r="C912" s="309"/>
      <c r="D912" s="309"/>
      <c r="E912" s="310"/>
      <c r="F912" s="311"/>
      <c r="G912" s="312"/>
      <c r="H912" s="313"/>
      <c r="I912" s="611"/>
      <c r="J912" s="314"/>
      <c r="K912" s="315"/>
    </row>
    <row r="913" spans="1:11" x14ac:dyDescent="0.2">
      <c r="A913" s="861" t="s">
        <v>124</v>
      </c>
      <c r="B913" s="862"/>
      <c r="C913" s="862"/>
      <c r="D913" s="862"/>
      <c r="E913" s="862"/>
      <c r="F913" s="837"/>
      <c r="G913" s="837"/>
      <c r="H913" s="837"/>
      <c r="I913" s="837"/>
      <c r="J913" s="838"/>
      <c r="K913" s="316"/>
    </row>
    <row r="914" spans="1:11" ht="15.75" customHeight="1" x14ac:dyDescent="0.2">
      <c r="A914" s="822" t="s">
        <v>125</v>
      </c>
      <c r="B914" s="839"/>
      <c r="C914" s="839"/>
      <c r="D914" s="839"/>
      <c r="E914" s="839"/>
      <c r="F914" s="317"/>
      <c r="G914" s="317"/>
      <c r="H914" s="863" t="s">
        <v>54</v>
      </c>
      <c r="I914" s="865" t="s">
        <v>126</v>
      </c>
      <c r="J914" s="867" t="s">
        <v>127</v>
      </c>
      <c r="K914" s="867" t="s">
        <v>120</v>
      </c>
    </row>
    <row r="915" spans="1:11" ht="21.75" customHeight="1" x14ac:dyDescent="0.25">
      <c r="A915" s="824"/>
      <c r="B915" s="840"/>
      <c r="C915" s="840"/>
      <c r="D915" s="840"/>
      <c r="E915" s="840"/>
      <c r="F915" s="318"/>
      <c r="G915" s="269"/>
      <c r="H915" s="864"/>
      <c r="I915" s="866"/>
      <c r="J915" s="868"/>
      <c r="K915" s="868"/>
    </row>
    <row r="916" spans="1:11" x14ac:dyDescent="0.2">
      <c r="A916" s="319"/>
      <c r="B916" s="859"/>
      <c r="C916" s="859"/>
      <c r="D916" s="859"/>
      <c r="E916" s="859"/>
      <c r="F916" s="859"/>
      <c r="G916" s="860"/>
      <c r="H916" s="320"/>
      <c r="I916" s="609"/>
      <c r="J916" s="321"/>
      <c r="K916" s="322"/>
    </row>
    <row r="917" spans="1:11" x14ac:dyDescent="0.2">
      <c r="A917" s="323"/>
      <c r="B917" s="849"/>
      <c r="C917" s="849"/>
      <c r="D917" s="849"/>
      <c r="E917" s="849"/>
      <c r="F917" s="849"/>
      <c r="G917" s="850"/>
      <c r="H917" s="320"/>
      <c r="I917" s="609"/>
      <c r="J917" s="306"/>
      <c r="K917" s="306"/>
    </row>
    <row r="918" spans="1:11" x14ac:dyDescent="0.2">
      <c r="A918" s="323"/>
      <c r="B918" s="849"/>
      <c r="C918" s="849"/>
      <c r="D918" s="849"/>
      <c r="E918" s="849"/>
      <c r="F918" s="849"/>
      <c r="G918" s="850"/>
      <c r="H918" s="320"/>
      <c r="I918" s="609"/>
      <c r="J918" s="306"/>
      <c r="K918" s="306"/>
    </row>
    <row r="919" spans="1:11" x14ac:dyDescent="0.2">
      <c r="A919" s="323"/>
      <c r="B919" s="849"/>
      <c r="C919" s="849"/>
      <c r="D919" s="849"/>
      <c r="E919" s="849"/>
      <c r="F919" s="849"/>
      <c r="G919" s="850"/>
      <c r="H919" s="320"/>
      <c r="I919" s="609"/>
      <c r="J919" s="306"/>
      <c r="K919" s="306"/>
    </row>
    <row r="920" spans="1:11" x14ac:dyDescent="0.2">
      <c r="A920" s="323"/>
      <c r="B920" s="849"/>
      <c r="C920" s="849"/>
      <c r="D920" s="849"/>
      <c r="E920" s="849"/>
      <c r="F920" s="849"/>
      <c r="G920" s="850"/>
      <c r="H920" s="320"/>
      <c r="I920" s="609"/>
      <c r="J920" s="306"/>
      <c r="K920" s="306"/>
    </row>
    <row r="921" spans="1:11" x14ac:dyDescent="0.2">
      <c r="A921" s="323"/>
      <c r="B921" s="849"/>
      <c r="C921" s="849"/>
      <c r="D921" s="849"/>
      <c r="E921" s="849"/>
      <c r="F921" s="849"/>
      <c r="G921" s="850"/>
      <c r="H921" s="320"/>
      <c r="I921" s="609"/>
      <c r="J921" s="306"/>
      <c r="K921" s="306"/>
    </row>
    <row r="922" spans="1:11" x14ac:dyDescent="0.2">
      <c r="A922" s="323"/>
      <c r="B922" s="849"/>
      <c r="C922" s="849"/>
      <c r="D922" s="849"/>
      <c r="E922" s="849"/>
      <c r="F922" s="849"/>
      <c r="G922" s="850"/>
      <c r="H922" s="320"/>
      <c r="I922" s="609"/>
      <c r="J922" s="306"/>
      <c r="K922" s="306"/>
    </row>
    <row r="923" spans="1:11" x14ac:dyDescent="0.2">
      <c r="A923" s="324"/>
      <c r="B923" s="851"/>
      <c r="C923" s="851"/>
      <c r="D923" s="851"/>
      <c r="E923" s="851"/>
      <c r="F923" s="851"/>
      <c r="G923" s="852"/>
      <c r="H923" s="325"/>
      <c r="I923" s="608"/>
      <c r="J923" s="314"/>
      <c r="K923" s="314"/>
    </row>
    <row r="924" spans="1:11" ht="15" x14ac:dyDescent="0.25">
      <c r="A924" s="326"/>
      <c r="C924" s="270"/>
      <c r="D924" s="836" t="s">
        <v>131</v>
      </c>
      <c r="E924" s="837"/>
      <c r="F924" s="837"/>
      <c r="G924" s="837"/>
      <c r="H924" s="837"/>
      <c r="I924" s="837"/>
      <c r="J924" s="838"/>
      <c r="K924" s="328"/>
    </row>
    <row r="925" spans="1:11" x14ac:dyDescent="0.2">
      <c r="A925" s="326" t="s">
        <v>132</v>
      </c>
      <c r="B925" s="329"/>
      <c r="C925" s="330">
        <v>1</v>
      </c>
      <c r="D925" s="853" t="s">
        <v>133</v>
      </c>
      <c r="E925" s="854"/>
      <c r="F925" s="854"/>
      <c r="G925" s="854"/>
      <c r="H925" s="854"/>
      <c r="I925" s="854"/>
      <c r="J925" s="855"/>
      <c r="K925" s="328"/>
    </row>
    <row r="926" spans="1:11" x14ac:dyDescent="0.2">
      <c r="A926" s="331"/>
      <c r="B926" s="329"/>
      <c r="C926" s="332"/>
      <c r="D926" s="856" t="s">
        <v>134</v>
      </c>
      <c r="E926" s="856"/>
      <c r="F926" s="857"/>
      <c r="G926" s="857"/>
      <c r="H926" s="857"/>
      <c r="I926" s="857"/>
      <c r="J926" s="858"/>
      <c r="K926" s="328"/>
    </row>
    <row r="927" spans="1:11" x14ac:dyDescent="0.2">
      <c r="A927" s="822" t="s">
        <v>137</v>
      </c>
      <c r="B927" s="839"/>
      <c r="C927" s="839"/>
      <c r="D927" s="839"/>
      <c r="E927" s="839"/>
      <c r="F927" s="841"/>
      <c r="G927" s="843" t="s">
        <v>42</v>
      </c>
      <c r="H927" s="844"/>
      <c r="I927" s="831" t="s">
        <v>126</v>
      </c>
      <c r="J927" s="830" t="s">
        <v>138</v>
      </c>
      <c r="K927" s="830" t="s">
        <v>139</v>
      </c>
    </row>
    <row r="928" spans="1:11" x14ac:dyDescent="0.2">
      <c r="A928" s="824"/>
      <c r="B928" s="840"/>
      <c r="C928" s="840"/>
      <c r="D928" s="840"/>
      <c r="E928" s="840"/>
      <c r="F928" s="842"/>
      <c r="G928" s="845"/>
      <c r="H928" s="846"/>
      <c r="I928" s="831"/>
      <c r="J928" s="830"/>
      <c r="K928" s="831"/>
    </row>
    <row r="929" spans="1:11" x14ac:dyDescent="0.2">
      <c r="A929" s="323" t="s">
        <v>420</v>
      </c>
      <c r="B929" s="301" t="s">
        <v>419</v>
      </c>
      <c r="C929" s="301"/>
      <c r="D929" s="301"/>
      <c r="E929" s="301"/>
      <c r="F929" s="293"/>
      <c r="G929" s="847">
        <v>1</v>
      </c>
      <c r="H929" s="848"/>
      <c r="I929" s="599" t="s">
        <v>345</v>
      </c>
      <c r="J929" s="360">
        <v>113.74</v>
      </c>
      <c r="K929" s="361">
        <f>ROUND((G929*J929),4)</f>
        <v>113.74</v>
      </c>
    </row>
    <row r="930" spans="1:11" x14ac:dyDescent="0.2">
      <c r="A930" s="323"/>
      <c r="B930" s="301"/>
      <c r="C930" s="301"/>
      <c r="D930" s="301"/>
      <c r="E930" s="301"/>
      <c r="F930" s="302"/>
      <c r="G930" s="832"/>
      <c r="H930" s="833"/>
      <c r="I930" s="606"/>
      <c r="J930" s="337"/>
      <c r="K930" s="306"/>
    </row>
    <row r="931" spans="1:11" x14ac:dyDescent="0.2">
      <c r="A931" s="323"/>
      <c r="B931" s="301"/>
      <c r="C931" s="301"/>
      <c r="D931" s="301"/>
      <c r="E931" s="301"/>
      <c r="F931" s="302"/>
      <c r="G931" s="832"/>
      <c r="H931" s="833"/>
      <c r="I931" s="606"/>
      <c r="J931" s="337"/>
      <c r="K931" s="306"/>
    </row>
    <row r="932" spans="1:11" x14ac:dyDescent="0.2">
      <c r="A932" s="323"/>
      <c r="B932" s="301"/>
      <c r="C932" s="301"/>
      <c r="D932" s="301"/>
      <c r="E932" s="301"/>
      <c r="F932" s="302"/>
      <c r="G932" s="832"/>
      <c r="H932" s="833"/>
      <c r="I932" s="606"/>
      <c r="J932" s="337"/>
      <c r="K932" s="306"/>
    </row>
    <row r="933" spans="1:11" x14ac:dyDescent="0.2">
      <c r="A933" s="836" t="s">
        <v>140</v>
      </c>
      <c r="B933" s="837"/>
      <c r="C933" s="837"/>
      <c r="D933" s="837"/>
      <c r="E933" s="837"/>
      <c r="F933" s="837"/>
      <c r="G933" s="837"/>
      <c r="H933" s="837"/>
      <c r="I933" s="837"/>
      <c r="J933" s="838"/>
      <c r="K933" s="328">
        <f>SUM(K929:K932)</f>
        <v>113.74</v>
      </c>
    </row>
    <row r="934" spans="1:11" x14ac:dyDescent="0.2">
      <c r="A934" s="822" t="s">
        <v>141</v>
      </c>
      <c r="B934" s="839"/>
      <c r="C934" s="839"/>
      <c r="D934" s="839"/>
      <c r="E934" s="839"/>
      <c r="F934" s="841"/>
      <c r="G934" s="843" t="s">
        <v>42</v>
      </c>
      <c r="H934" s="844"/>
      <c r="I934" s="831" t="s">
        <v>126</v>
      </c>
      <c r="J934" s="830" t="s">
        <v>138</v>
      </c>
      <c r="K934" s="830" t="s">
        <v>139</v>
      </c>
    </row>
    <row r="935" spans="1:11" x14ac:dyDescent="0.2">
      <c r="A935" s="824"/>
      <c r="B935" s="840"/>
      <c r="C935" s="840"/>
      <c r="D935" s="840"/>
      <c r="E935" s="840"/>
      <c r="F935" s="842"/>
      <c r="G935" s="845"/>
      <c r="H935" s="846"/>
      <c r="I935" s="831"/>
      <c r="J935" s="830"/>
      <c r="K935" s="831"/>
    </row>
    <row r="936" spans="1:11" x14ac:dyDescent="0.2">
      <c r="A936" s="323"/>
      <c r="B936" s="301"/>
      <c r="C936" s="301"/>
      <c r="D936" s="301"/>
      <c r="E936" s="301"/>
      <c r="F936" s="302"/>
      <c r="G936" s="832"/>
      <c r="H936" s="833"/>
      <c r="I936" s="606"/>
      <c r="J936" s="337"/>
      <c r="K936" s="306"/>
    </row>
    <row r="937" spans="1:11" x14ac:dyDescent="0.2">
      <c r="A937" s="323"/>
      <c r="B937" s="301"/>
      <c r="C937" s="301"/>
      <c r="D937" s="301"/>
      <c r="E937" s="301"/>
      <c r="F937" s="302"/>
      <c r="G937" s="832"/>
      <c r="H937" s="833"/>
      <c r="I937" s="606"/>
      <c r="J937" s="337"/>
      <c r="K937" s="306"/>
    </row>
    <row r="938" spans="1:11" x14ac:dyDescent="0.2">
      <c r="A938" s="323"/>
      <c r="B938" s="301"/>
      <c r="C938" s="301"/>
      <c r="D938" s="301"/>
      <c r="E938" s="301"/>
      <c r="F938" s="302"/>
      <c r="G938" s="832"/>
      <c r="H938" s="833"/>
      <c r="I938" s="606"/>
      <c r="J938" s="337"/>
      <c r="K938" s="306"/>
    </row>
    <row r="939" spans="1:11" x14ac:dyDescent="0.2">
      <c r="A939" s="324"/>
      <c r="B939" s="309"/>
      <c r="C939" s="309"/>
      <c r="D939" s="309"/>
      <c r="E939" s="309"/>
      <c r="F939" s="310"/>
      <c r="G939" s="834"/>
      <c r="H939" s="835"/>
      <c r="I939" s="605"/>
      <c r="J939" s="339"/>
      <c r="K939" s="314"/>
    </row>
    <row r="940" spans="1:11" x14ac:dyDescent="0.2">
      <c r="A940" s="836" t="s">
        <v>142</v>
      </c>
      <c r="B940" s="837"/>
      <c r="C940" s="837"/>
      <c r="D940" s="837"/>
      <c r="E940" s="837"/>
      <c r="F940" s="837"/>
      <c r="G940" s="837"/>
      <c r="H940" s="837"/>
      <c r="I940" s="837"/>
      <c r="J940" s="838"/>
      <c r="K940" s="338"/>
    </row>
    <row r="941" spans="1:11" x14ac:dyDescent="0.2">
      <c r="A941" s="822" t="s">
        <v>143</v>
      </c>
      <c r="B941" s="839"/>
      <c r="C941" s="839"/>
      <c r="D941" s="839"/>
      <c r="E941" s="839"/>
      <c r="F941" s="841"/>
      <c r="G941" s="843" t="s">
        <v>42</v>
      </c>
      <c r="H941" s="844"/>
      <c r="I941" s="831" t="s">
        <v>126</v>
      </c>
      <c r="J941" s="830" t="s">
        <v>138</v>
      </c>
      <c r="K941" s="830" t="s">
        <v>139</v>
      </c>
    </row>
    <row r="942" spans="1:11" x14ac:dyDescent="0.2">
      <c r="A942" s="824"/>
      <c r="B942" s="840"/>
      <c r="C942" s="840"/>
      <c r="D942" s="840"/>
      <c r="E942" s="840"/>
      <c r="F942" s="842"/>
      <c r="G942" s="845"/>
      <c r="H942" s="846"/>
      <c r="I942" s="831"/>
      <c r="J942" s="830"/>
      <c r="K942" s="831"/>
    </row>
    <row r="943" spans="1:11" x14ac:dyDescent="0.2">
      <c r="A943" s="323"/>
      <c r="B943" s="301"/>
      <c r="C943" s="301"/>
      <c r="D943" s="301"/>
      <c r="E943" s="301"/>
      <c r="F943" s="302"/>
      <c r="G943" s="832"/>
      <c r="H943" s="833"/>
      <c r="I943" s="606"/>
      <c r="J943" s="337"/>
      <c r="K943" s="306"/>
    </row>
    <row r="944" spans="1:11" x14ac:dyDescent="0.2">
      <c r="A944" s="323"/>
      <c r="B944" s="301"/>
      <c r="C944" s="301"/>
      <c r="D944" s="301"/>
      <c r="E944" s="301"/>
      <c r="F944" s="302"/>
      <c r="G944" s="832"/>
      <c r="H944" s="833"/>
      <c r="I944" s="606"/>
      <c r="J944" s="337"/>
      <c r="K944" s="306"/>
    </row>
    <row r="945" spans="1:11" x14ac:dyDescent="0.2">
      <c r="A945" s="323"/>
      <c r="B945" s="301"/>
      <c r="C945" s="301"/>
      <c r="D945" s="301"/>
      <c r="E945" s="301"/>
      <c r="F945" s="302"/>
      <c r="G945" s="832"/>
      <c r="H945" s="833"/>
      <c r="I945" s="606"/>
      <c r="J945" s="337"/>
      <c r="K945" s="306"/>
    </row>
    <row r="946" spans="1:11" x14ac:dyDescent="0.2">
      <c r="A946" s="324"/>
      <c r="B946" s="309"/>
      <c r="C946" s="309"/>
      <c r="D946" s="309"/>
      <c r="E946" s="309"/>
      <c r="F946" s="310"/>
      <c r="G946" s="834"/>
      <c r="H946" s="835"/>
      <c r="I946" s="605"/>
      <c r="J946" s="339"/>
      <c r="K946" s="314"/>
    </row>
    <row r="947" spans="1:11" x14ac:dyDescent="0.2">
      <c r="A947" s="836" t="s">
        <v>144</v>
      </c>
      <c r="B947" s="837"/>
      <c r="C947" s="837"/>
      <c r="D947" s="837"/>
      <c r="E947" s="837"/>
      <c r="F947" s="837"/>
      <c r="G947" s="837"/>
      <c r="H947" s="837"/>
      <c r="I947" s="837"/>
      <c r="J947" s="838"/>
      <c r="K947" s="338"/>
    </row>
    <row r="948" spans="1:11" x14ac:dyDescent="0.2">
      <c r="A948" s="822" t="s">
        <v>145</v>
      </c>
      <c r="B948" s="823"/>
      <c r="C948" s="820" t="s">
        <v>146</v>
      </c>
      <c r="D948" s="340" t="s">
        <v>147</v>
      </c>
      <c r="E948" s="818" t="s">
        <v>148</v>
      </c>
      <c r="F948" s="818"/>
      <c r="G948" s="819"/>
      <c r="H948" s="814" t="s">
        <v>149</v>
      </c>
      <c r="I948" s="815"/>
      <c r="J948" s="816"/>
      <c r="K948" s="812" t="s">
        <v>150</v>
      </c>
    </row>
    <row r="949" spans="1:11" x14ac:dyDescent="0.2">
      <c r="A949" s="826"/>
      <c r="B949" s="827"/>
      <c r="C949" s="821"/>
      <c r="D949" s="341"/>
      <c r="E949" s="378" t="s">
        <v>151</v>
      </c>
      <c r="F949" s="342" t="s">
        <v>152</v>
      </c>
      <c r="G949" s="343" t="s">
        <v>153</v>
      </c>
      <c r="H949" s="378" t="s">
        <v>151</v>
      </c>
      <c r="I949" s="342" t="s">
        <v>152</v>
      </c>
      <c r="J949" s="342" t="s">
        <v>153</v>
      </c>
      <c r="K949" s="813"/>
    </row>
    <row r="950" spans="1:11" x14ac:dyDescent="0.2">
      <c r="A950" s="319"/>
      <c r="B950" s="293"/>
      <c r="C950" s="344"/>
      <c r="D950" s="345"/>
      <c r="E950" s="346"/>
      <c r="F950" s="347"/>
      <c r="G950" s="348"/>
      <c r="H950" s="379"/>
      <c r="I950" s="613"/>
      <c r="J950" s="349"/>
      <c r="K950" s="336"/>
    </row>
    <row r="951" spans="1:11" x14ac:dyDescent="0.2">
      <c r="A951" s="323"/>
      <c r="B951" s="301"/>
      <c r="C951" s="344"/>
      <c r="D951" s="350"/>
      <c r="E951" s="351"/>
      <c r="F951" s="352"/>
      <c r="G951" s="353"/>
      <c r="H951" s="379"/>
      <c r="I951" s="613"/>
      <c r="J951" s="349"/>
      <c r="K951" s="306"/>
    </row>
    <row r="952" spans="1:11" x14ac:dyDescent="0.2">
      <c r="A952" s="323"/>
      <c r="B952" s="301"/>
      <c r="C952" s="344"/>
      <c r="D952" s="350"/>
      <c r="E952" s="351"/>
      <c r="F952" s="352"/>
      <c r="G952" s="353"/>
      <c r="H952" s="379"/>
      <c r="I952" s="613"/>
      <c r="J952" s="349"/>
      <c r="K952" s="306"/>
    </row>
    <row r="953" spans="1:11" x14ac:dyDescent="0.2">
      <c r="A953" s="324"/>
      <c r="B953" s="309"/>
      <c r="C953" s="354"/>
      <c r="D953" s="355"/>
      <c r="E953" s="356"/>
      <c r="F953" s="357"/>
      <c r="G953" s="358"/>
      <c r="H953" s="379"/>
      <c r="I953" s="613"/>
      <c r="J953" s="349"/>
      <c r="K953" s="314"/>
    </row>
    <row r="954" spans="1:11" x14ac:dyDescent="0.2">
      <c r="A954" s="828" t="s">
        <v>154</v>
      </c>
      <c r="B954" s="808"/>
      <c r="C954" s="808"/>
      <c r="D954" s="829"/>
      <c r="E954" s="808"/>
      <c r="F954" s="808"/>
      <c r="G954" s="808"/>
      <c r="H954" s="808"/>
      <c r="I954" s="808"/>
      <c r="J954" s="809"/>
      <c r="K954" s="338"/>
    </row>
    <row r="955" spans="1:11" x14ac:dyDescent="0.2">
      <c r="A955" s="807" t="s">
        <v>155</v>
      </c>
      <c r="B955" s="808"/>
      <c r="C955" s="808"/>
      <c r="D955" s="808"/>
      <c r="E955" s="808"/>
      <c r="F955" s="808"/>
      <c r="G955" s="808"/>
      <c r="H955" s="808"/>
      <c r="I955" s="808"/>
      <c r="J955" s="809"/>
      <c r="K955" s="359">
        <f>ROUND((K933),2)</f>
        <v>113.74</v>
      </c>
    </row>
    <row r="956" spans="1:11" x14ac:dyDescent="0.2">
      <c r="A956" s="807" t="s">
        <v>23</v>
      </c>
      <c r="B956" s="808"/>
      <c r="C956" s="808"/>
      <c r="D956" s="808"/>
      <c r="E956" s="808"/>
      <c r="F956" s="808"/>
      <c r="G956" s="808"/>
      <c r="H956" s="808"/>
      <c r="I956" s="808"/>
      <c r="J956" s="809"/>
      <c r="K956" s="359">
        <f>ROUND((K955*  10.37/100),4)</f>
        <v>11.7948</v>
      </c>
    </row>
    <row r="957" spans="1:11" x14ac:dyDescent="0.2">
      <c r="A957" s="807" t="s">
        <v>156</v>
      </c>
      <c r="B957" s="808"/>
      <c r="C957" s="808"/>
      <c r="D957" s="808"/>
      <c r="E957" s="808"/>
      <c r="F957" s="808"/>
      <c r="G957" s="808"/>
      <c r="H957" s="808"/>
      <c r="I957" s="808"/>
      <c r="J957" s="809"/>
      <c r="K957" s="359">
        <f>K955+K956</f>
        <v>125.53479999999999</v>
      </c>
    </row>
    <row r="960" spans="1:11" ht="56.25" customHeight="1" x14ac:dyDescent="0.2">
      <c r="A960" s="804" t="s">
        <v>110</v>
      </c>
      <c r="B960" s="805"/>
      <c r="C960" s="805"/>
      <c r="D960" s="805"/>
      <c r="E960" s="805"/>
      <c r="F960" s="805"/>
      <c r="G960" s="805"/>
      <c r="H960" s="805"/>
      <c r="I960" s="805"/>
      <c r="J960" s="805"/>
      <c r="K960" s="806"/>
    </row>
    <row r="961" spans="1:11" ht="18" customHeight="1" x14ac:dyDescent="0.2">
      <c r="A961" s="275" t="s">
        <v>111</v>
      </c>
      <c r="B961" s="276"/>
      <c r="C961" s="802"/>
      <c r="D961" s="802"/>
      <c r="E961" s="802"/>
      <c r="F961" s="802"/>
      <c r="G961" s="802"/>
      <c r="H961" s="802"/>
      <c r="I961" s="802"/>
      <c r="J961" s="802"/>
      <c r="K961" s="803"/>
    </row>
    <row r="962" spans="1:11" ht="18" customHeight="1" x14ac:dyDescent="0.2">
      <c r="A962" s="275" t="s">
        <v>315</v>
      </c>
      <c r="B962" s="276"/>
      <c r="C962" s="277" t="s">
        <v>66</v>
      </c>
      <c r="E962" s="810" t="s">
        <v>316</v>
      </c>
      <c r="F962" s="810"/>
      <c r="G962" s="810"/>
      <c r="H962" s="279"/>
      <c r="I962" s="604" t="s">
        <v>112</v>
      </c>
      <c r="J962" s="810" t="s">
        <v>113</v>
      </c>
      <c r="K962" s="811"/>
    </row>
    <row r="963" spans="1:11" x14ac:dyDescent="0.2">
      <c r="A963" s="280" t="s">
        <v>114</v>
      </c>
      <c r="B963" s="281" t="s">
        <v>1652</v>
      </c>
      <c r="C963" s="282"/>
      <c r="D963" s="282"/>
      <c r="E963" s="282"/>
      <c r="F963" s="282"/>
      <c r="G963" s="282"/>
      <c r="H963" s="282"/>
      <c r="I963" s="282"/>
      <c r="J963" s="282"/>
      <c r="K963" s="283"/>
    </row>
    <row r="964" spans="1:11" x14ac:dyDescent="0.2">
      <c r="A964" s="284" t="s">
        <v>115</v>
      </c>
      <c r="B964" s="285"/>
      <c r="D964" s="286"/>
      <c r="E964" s="286"/>
      <c r="F964" s="286"/>
      <c r="G964" s="286"/>
      <c r="H964" s="286"/>
      <c r="I964" s="603"/>
      <c r="J964" s="287" t="s">
        <v>52</v>
      </c>
      <c r="K964" s="288" t="s">
        <v>318</v>
      </c>
    </row>
    <row r="965" spans="1:11" ht="23.25" customHeight="1" x14ac:dyDescent="0.2">
      <c r="A965" s="869" t="s">
        <v>1653</v>
      </c>
      <c r="B965" s="870"/>
      <c r="C965" s="870"/>
      <c r="D965" s="870"/>
      <c r="E965" s="870"/>
      <c r="F965" s="870"/>
      <c r="G965" s="870"/>
      <c r="H965" s="870"/>
      <c r="I965" s="871"/>
      <c r="J965" s="289" t="s">
        <v>116</v>
      </c>
      <c r="K965" s="288" t="s">
        <v>158</v>
      </c>
    </row>
    <row r="966" spans="1:11" x14ac:dyDescent="0.2">
      <c r="A966" s="826" t="s">
        <v>117</v>
      </c>
      <c r="B966" s="872"/>
      <c r="C966" s="839"/>
      <c r="D966" s="839"/>
      <c r="E966" s="823"/>
      <c r="F966" s="290" t="s">
        <v>54</v>
      </c>
      <c r="G966" s="873" t="s">
        <v>118</v>
      </c>
      <c r="H966" s="874"/>
      <c r="I966" s="813" t="s">
        <v>119</v>
      </c>
      <c r="J966" s="813"/>
      <c r="K966" s="867" t="s">
        <v>120</v>
      </c>
    </row>
    <row r="967" spans="1:11" ht="25.5" x14ac:dyDescent="0.2">
      <c r="A967" s="826"/>
      <c r="B967" s="872"/>
      <c r="C967" s="872"/>
      <c r="D967" s="872"/>
      <c r="E967" s="827"/>
      <c r="F967" s="290"/>
      <c r="G967" s="290" t="s">
        <v>121</v>
      </c>
      <c r="H967" s="381" t="s">
        <v>122</v>
      </c>
      <c r="I967" s="290" t="s">
        <v>123</v>
      </c>
      <c r="J967" s="290" t="s">
        <v>122</v>
      </c>
      <c r="K967" s="868"/>
    </row>
    <row r="968" spans="1:11" s="299" customFormat="1" x14ac:dyDescent="0.25">
      <c r="A968" s="291"/>
      <c r="B968" s="292"/>
      <c r="C968" s="292"/>
      <c r="D968" s="292"/>
      <c r="E968" s="293"/>
      <c r="F968" s="294"/>
      <c r="G968" s="295"/>
      <c r="H968" s="296"/>
      <c r="I968" s="602"/>
      <c r="J968" s="297"/>
      <c r="K968" s="298"/>
    </row>
    <row r="969" spans="1:11" s="299" customFormat="1" x14ac:dyDescent="0.25">
      <c r="A969" s="300"/>
      <c r="B969" s="301"/>
      <c r="C969" s="301"/>
      <c r="D969" s="301"/>
      <c r="E969" s="302"/>
      <c r="F969" s="303"/>
      <c r="G969" s="372"/>
      <c r="H969" s="373"/>
      <c r="I969" s="601"/>
      <c r="J969" s="321"/>
      <c r="K969" s="374"/>
    </row>
    <row r="970" spans="1:11" s="299" customFormat="1" x14ac:dyDescent="0.25">
      <c r="A970" s="300"/>
      <c r="B970" s="301"/>
      <c r="C970" s="301"/>
      <c r="D970" s="301"/>
      <c r="E970" s="302"/>
      <c r="F970" s="303"/>
      <c r="G970" s="372"/>
      <c r="H970" s="373"/>
      <c r="I970" s="601"/>
      <c r="J970" s="321"/>
      <c r="K970" s="374"/>
    </row>
    <row r="971" spans="1:11" s="299" customFormat="1" x14ac:dyDescent="0.25">
      <c r="A971" s="300"/>
      <c r="B971" s="301"/>
      <c r="C971" s="301"/>
      <c r="D971" s="301"/>
      <c r="E971" s="302"/>
      <c r="F971" s="303"/>
      <c r="G971" s="372"/>
      <c r="H971" s="373"/>
      <c r="I971" s="601"/>
      <c r="J971" s="321"/>
      <c r="K971" s="374"/>
    </row>
    <row r="972" spans="1:11" s="299" customFormat="1" x14ac:dyDescent="0.25">
      <c r="A972" s="300"/>
      <c r="B972" s="301"/>
      <c r="C972" s="301"/>
      <c r="D972" s="301"/>
      <c r="E972" s="302"/>
      <c r="F972" s="303"/>
      <c r="G972" s="372"/>
      <c r="H972" s="373"/>
      <c r="I972" s="601"/>
      <c r="J972" s="321"/>
      <c r="K972" s="374"/>
    </row>
    <row r="973" spans="1:11" s="299" customFormat="1" x14ac:dyDescent="0.25">
      <c r="A973" s="300"/>
      <c r="B973" s="301"/>
      <c r="C973" s="301"/>
      <c r="D973" s="301"/>
      <c r="E973" s="302"/>
      <c r="F973" s="303"/>
      <c r="G973" s="304"/>
      <c r="H973" s="305"/>
      <c r="I973" s="600"/>
      <c r="J973" s="306"/>
      <c r="K973" s="307"/>
    </row>
    <row r="974" spans="1:11" s="299" customFormat="1" x14ac:dyDescent="0.25">
      <c r="A974" s="300"/>
      <c r="B974" s="301"/>
      <c r="C974" s="301"/>
      <c r="D974" s="301"/>
      <c r="E974" s="302"/>
      <c r="F974" s="303"/>
      <c r="G974" s="304"/>
      <c r="H974" s="305"/>
      <c r="I974" s="600"/>
      <c r="J974" s="306"/>
      <c r="K974" s="307"/>
    </row>
    <row r="975" spans="1:11" s="299" customFormat="1" x14ac:dyDescent="0.25">
      <c r="A975" s="308"/>
      <c r="B975" s="309"/>
      <c r="C975" s="309"/>
      <c r="D975" s="309"/>
      <c r="E975" s="310"/>
      <c r="F975" s="311"/>
      <c r="G975" s="312"/>
      <c r="H975" s="313"/>
      <c r="I975" s="611"/>
      <c r="J975" s="314"/>
      <c r="K975" s="315"/>
    </row>
    <row r="976" spans="1:11" x14ac:dyDescent="0.2">
      <c r="A976" s="861" t="s">
        <v>124</v>
      </c>
      <c r="B976" s="862"/>
      <c r="C976" s="862"/>
      <c r="D976" s="862"/>
      <c r="E976" s="862"/>
      <c r="F976" s="837"/>
      <c r="G976" s="837"/>
      <c r="H976" s="837"/>
      <c r="I976" s="837"/>
      <c r="J976" s="838"/>
      <c r="K976" s="316">
        <f>SUM(K968:K975)</f>
        <v>0</v>
      </c>
    </row>
    <row r="977" spans="1:11" ht="15.75" customHeight="1" x14ac:dyDescent="0.2">
      <c r="A977" s="822" t="s">
        <v>125</v>
      </c>
      <c r="B977" s="839"/>
      <c r="C977" s="839"/>
      <c r="D977" s="839"/>
      <c r="E977" s="839"/>
      <c r="F977" s="317"/>
      <c r="G977" s="317"/>
      <c r="H977" s="863" t="s">
        <v>54</v>
      </c>
      <c r="I977" s="865" t="s">
        <v>126</v>
      </c>
      <c r="J977" s="867" t="s">
        <v>127</v>
      </c>
      <c r="K977" s="867" t="s">
        <v>120</v>
      </c>
    </row>
    <row r="978" spans="1:11" ht="21.75" customHeight="1" x14ac:dyDescent="0.25">
      <c r="A978" s="824"/>
      <c r="B978" s="840"/>
      <c r="C978" s="840"/>
      <c r="D978" s="840"/>
      <c r="E978" s="840"/>
      <c r="F978" s="318"/>
      <c r="G978" s="269"/>
      <c r="H978" s="864"/>
      <c r="I978" s="866"/>
      <c r="J978" s="868"/>
      <c r="K978" s="868"/>
    </row>
    <row r="979" spans="1:11" x14ac:dyDescent="0.2">
      <c r="A979" s="319"/>
      <c r="B979" s="859"/>
      <c r="C979" s="859"/>
      <c r="D979" s="859"/>
      <c r="E979" s="859"/>
      <c r="F979" s="859"/>
      <c r="G979" s="860"/>
      <c r="H979" s="320"/>
      <c r="I979" s="609"/>
      <c r="J979" s="321"/>
      <c r="K979" s="322"/>
    </row>
    <row r="980" spans="1:11" x14ac:dyDescent="0.2">
      <c r="A980" s="323"/>
      <c r="B980" s="849"/>
      <c r="C980" s="849"/>
      <c r="D980" s="849"/>
      <c r="E980" s="849"/>
      <c r="F980" s="849"/>
      <c r="G980" s="850"/>
      <c r="H980" s="320"/>
      <c r="I980" s="609"/>
      <c r="J980" s="306"/>
      <c r="K980" s="306"/>
    </row>
    <row r="981" spans="1:11" x14ac:dyDescent="0.2">
      <c r="A981" s="323"/>
      <c r="B981" s="849"/>
      <c r="C981" s="849"/>
      <c r="D981" s="849"/>
      <c r="E981" s="849"/>
      <c r="F981" s="849"/>
      <c r="G981" s="850"/>
      <c r="H981" s="320"/>
      <c r="I981" s="609"/>
      <c r="J981" s="306"/>
      <c r="K981" s="306"/>
    </row>
    <row r="982" spans="1:11" x14ac:dyDescent="0.2">
      <c r="A982" s="323"/>
      <c r="B982" s="849"/>
      <c r="C982" s="849"/>
      <c r="D982" s="849"/>
      <c r="E982" s="849"/>
      <c r="F982" s="849"/>
      <c r="G982" s="850"/>
      <c r="H982" s="320"/>
      <c r="I982" s="609"/>
      <c r="J982" s="306"/>
      <c r="K982" s="306"/>
    </row>
    <row r="983" spans="1:11" x14ac:dyDescent="0.2">
      <c r="A983" s="323"/>
      <c r="B983" s="849"/>
      <c r="C983" s="849"/>
      <c r="D983" s="849"/>
      <c r="E983" s="849"/>
      <c r="F983" s="849"/>
      <c r="G983" s="850"/>
      <c r="H983" s="320"/>
      <c r="I983" s="609"/>
      <c r="J983" s="306"/>
      <c r="K983" s="306"/>
    </row>
    <row r="984" spans="1:11" x14ac:dyDescent="0.2">
      <c r="A984" s="323"/>
      <c r="B984" s="849"/>
      <c r="C984" s="849"/>
      <c r="D984" s="849"/>
      <c r="E984" s="849"/>
      <c r="F984" s="849"/>
      <c r="G984" s="850"/>
      <c r="H984" s="320"/>
      <c r="I984" s="609"/>
      <c r="J984" s="306"/>
      <c r="K984" s="306"/>
    </row>
    <row r="985" spans="1:11" x14ac:dyDescent="0.2">
      <c r="A985" s="323"/>
      <c r="B985" s="849"/>
      <c r="C985" s="849"/>
      <c r="D985" s="849"/>
      <c r="E985" s="849"/>
      <c r="F985" s="849"/>
      <c r="G985" s="850"/>
      <c r="H985" s="320"/>
      <c r="I985" s="609"/>
      <c r="J985" s="306"/>
      <c r="K985" s="306"/>
    </row>
    <row r="986" spans="1:11" x14ac:dyDescent="0.2">
      <c r="A986" s="324"/>
      <c r="B986" s="851"/>
      <c r="C986" s="851"/>
      <c r="D986" s="851"/>
      <c r="E986" s="851"/>
      <c r="F986" s="851"/>
      <c r="G986" s="852"/>
      <c r="H986" s="325"/>
      <c r="I986" s="608"/>
      <c r="J986" s="314"/>
      <c r="K986" s="314"/>
    </row>
    <row r="987" spans="1:11" ht="15" x14ac:dyDescent="0.25">
      <c r="A987" s="326"/>
      <c r="C987" s="270"/>
      <c r="D987" s="836" t="s">
        <v>131</v>
      </c>
      <c r="E987" s="837"/>
      <c r="F987" s="837"/>
      <c r="G987" s="837"/>
      <c r="H987" s="837"/>
      <c r="I987" s="837"/>
      <c r="J987" s="838"/>
      <c r="K987" s="328">
        <f>SUM(K979:K986)</f>
        <v>0</v>
      </c>
    </row>
    <row r="988" spans="1:11" x14ac:dyDescent="0.2">
      <c r="A988" s="326" t="s">
        <v>132</v>
      </c>
      <c r="B988" s="329"/>
      <c r="C988" s="330">
        <v>99.6</v>
      </c>
      <c r="D988" s="853" t="s">
        <v>133</v>
      </c>
      <c r="E988" s="854"/>
      <c r="F988" s="854"/>
      <c r="G988" s="854"/>
      <c r="H988" s="854"/>
      <c r="I988" s="854"/>
      <c r="J988" s="855"/>
      <c r="K988" s="328">
        <f>K976+K987</f>
        <v>0</v>
      </c>
    </row>
    <row r="989" spans="1:11" x14ac:dyDescent="0.2">
      <c r="A989" s="331"/>
      <c r="B989" s="329"/>
      <c r="C989" s="332"/>
      <c r="D989" s="856" t="s">
        <v>134</v>
      </c>
      <c r="E989" s="856"/>
      <c r="F989" s="857"/>
      <c r="G989" s="857"/>
      <c r="H989" s="857"/>
      <c r="I989" s="857"/>
      <c r="J989" s="858"/>
      <c r="K989" s="328">
        <f>ROUND((K988/C988),4)</f>
        <v>0</v>
      </c>
    </row>
    <row r="990" spans="1:11" x14ac:dyDescent="0.2">
      <c r="A990" s="326"/>
      <c r="B990" s="329"/>
      <c r="C990" s="333"/>
      <c r="D990" s="380"/>
      <c r="E990" s="380"/>
      <c r="F990" s="380"/>
      <c r="G990" s="380"/>
      <c r="H990" s="380"/>
      <c r="I990" s="610" t="s">
        <v>135</v>
      </c>
      <c r="J990" s="334" t="s">
        <v>160</v>
      </c>
      <c r="K990" s="328">
        <v>0</v>
      </c>
    </row>
    <row r="991" spans="1:11" x14ac:dyDescent="0.2">
      <c r="A991" s="326"/>
      <c r="B991" s="329"/>
      <c r="C991" s="333"/>
      <c r="D991" s="380"/>
      <c r="E991" s="380"/>
      <c r="F991" s="380"/>
      <c r="G991" s="380"/>
      <c r="H991" s="380"/>
      <c r="I991" s="610" t="s">
        <v>136</v>
      </c>
      <c r="J991" s="334" t="s">
        <v>160</v>
      </c>
      <c r="K991" s="328">
        <v>0</v>
      </c>
    </row>
    <row r="992" spans="1:11" x14ac:dyDescent="0.2">
      <c r="A992" s="822" t="s">
        <v>137</v>
      </c>
      <c r="B992" s="839"/>
      <c r="C992" s="839"/>
      <c r="D992" s="839"/>
      <c r="E992" s="839"/>
      <c r="F992" s="841"/>
      <c r="G992" s="843" t="s">
        <v>42</v>
      </c>
      <c r="H992" s="844"/>
      <c r="I992" s="831" t="s">
        <v>126</v>
      </c>
      <c r="J992" s="830" t="s">
        <v>138</v>
      </c>
      <c r="K992" s="830" t="s">
        <v>139</v>
      </c>
    </row>
    <row r="993" spans="1:11" x14ac:dyDescent="0.2">
      <c r="A993" s="824"/>
      <c r="B993" s="840"/>
      <c r="C993" s="840"/>
      <c r="D993" s="840"/>
      <c r="E993" s="840"/>
      <c r="F993" s="842"/>
      <c r="G993" s="845"/>
      <c r="H993" s="846"/>
      <c r="I993" s="831"/>
      <c r="J993" s="830"/>
      <c r="K993" s="831"/>
    </row>
    <row r="994" spans="1:11" ht="12.75" customHeight="1" x14ac:dyDescent="0.2">
      <c r="A994" s="323" t="s">
        <v>1654</v>
      </c>
      <c r="B994" s="301"/>
      <c r="C994" s="301"/>
      <c r="D994" s="301"/>
      <c r="E994" s="301"/>
      <c r="F994" s="293"/>
      <c r="G994" s="847">
        <v>1</v>
      </c>
      <c r="H994" s="848"/>
      <c r="I994" s="599" t="s">
        <v>195</v>
      </c>
      <c r="J994" s="360">
        <f>Cotações!J19</f>
        <v>185</v>
      </c>
      <c r="K994" s="361">
        <f>ROUND((G994*J994),4)</f>
        <v>185</v>
      </c>
    </row>
    <row r="995" spans="1:11" x14ac:dyDescent="0.2">
      <c r="A995" s="323"/>
      <c r="B995" s="301"/>
      <c r="C995" s="301"/>
      <c r="D995" s="301"/>
      <c r="E995" s="301"/>
      <c r="F995" s="302"/>
      <c r="G995" s="832"/>
      <c r="H995" s="833"/>
      <c r="I995" s="606"/>
      <c r="J995" s="362"/>
      <c r="K995" s="322"/>
    </row>
    <row r="996" spans="1:11" x14ac:dyDescent="0.2">
      <c r="A996" s="323"/>
      <c r="B996" s="301"/>
      <c r="C996" s="301"/>
      <c r="D996" s="301"/>
      <c r="E996" s="301"/>
      <c r="F996" s="302"/>
      <c r="G996" s="832"/>
      <c r="H996" s="833"/>
      <c r="I996" s="606"/>
      <c r="J996" s="362"/>
      <c r="K996" s="322"/>
    </row>
    <row r="997" spans="1:11" x14ac:dyDescent="0.2">
      <c r="A997" s="323"/>
      <c r="B997" s="301"/>
      <c r="C997" s="301"/>
      <c r="D997" s="301"/>
      <c r="E997" s="301"/>
      <c r="F997" s="302"/>
      <c r="G997" s="832"/>
      <c r="H997" s="833"/>
      <c r="I997" s="606"/>
      <c r="J997" s="362"/>
      <c r="K997" s="322"/>
    </row>
    <row r="998" spans="1:11" x14ac:dyDescent="0.2">
      <c r="A998" s="323"/>
      <c r="B998" s="301"/>
      <c r="C998" s="301"/>
      <c r="D998" s="301"/>
      <c r="E998" s="301"/>
      <c r="F998" s="302"/>
      <c r="G998" s="832"/>
      <c r="H998" s="833"/>
      <c r="I998" s="606"/>
      <c r="J998" s="362"/>
      <c r="K998" s="322"/>
    </row>
    <row r="999" spans="1:11" x14ac:dyDescent="0.2">
      <c r="A999" s="323"/>
      <c r="B999" s="301"/>
      <c r="C999" s="301"/>
      <c r="D999" s="301"/>
      <c r="E999" s="301"/>
      <c r="F999" s="302"/>
      <c r="G999" s="832"/>
      <c r="H999" s="833"/>
      <c r="I999" s="606"/>
      <c r="J999" s="362"/>
      <c r="K999" s="322"/>
    </row>
    <row r="1000" spans="1:11" x14ac:dyDescent="0.2">
      <c r="A1000" s="323"/>
      <c r="B1000" s="301"/>
      <c r="C1000" s="301"/>
      <c r="D1000" s="301"/>
      <c r="E1000" s="301"/>
      <c r="F1000" s="302"/>
      <c r="G1000" s="832"/>
      <c r="H1000" s="833"/>
      <c r="I1000" s="606"/>
      <c r="J1000" s="362"/>
      <c r="K1000" s="322"/>
    </row>
    <row r="1001" spans="1:11" x14ac:dyDescent="0.2">
      <c r="A1001" s="323"/>
      <c r="B1001" s="301"/>
      <c r="C1001" s="301"/>
      <c r="D1001" s="301"/>
      <c r="E1001" s="301"/>
      <c r="F1001" s="302"/>
      <c r="G1001" s="832"/>
      <c r="H1001" s="833"/>
      <c r="I1001" s="606"/>
      <c r="J1001" s="337"/>
      <c r="K1001" s="306"/>
    </row>
    <row r="1002" spans="1:11" x14ac:dyDescent="0.2">
      <c r="A1002" s="836" t="s">
        <v>140</v>
      </c>
      <c r="B1002" s="837"/>
      <c r="C1002" s="837"/>
      <c r="D1002" s="837"/>
      <c r="E1002" s="837"/>
      <c r="F1002" s="837"/>
      <c r="G1002" s="837"/>
      <c r="H1002" s="837"/>
      <c r="I1002" s="837"/>
      <c r="J1002" s="838"/>
      <c r="K1002" s="328">
        <f>SUM(K994:K1001)</f>
        <v>185</v>
      </c>
    </row>
    <row r="1003" spans="1:11" x14ac:dyDescent="0.2">
      <c r="A1003" s="822" t="s">
        <v>141</v>
      </c>
      <c r="B1003" s="839"/>
      <c r="C1003" s="839"/>
      <c r="D1003" s="839"/>
      <c r="E1003" s="839"/>
      <c r="F1003" s="841"/>
      <c r="G1003" s="843" t="s">
        <v>42</v>
      </c>
      <c r="H1003" s="844"/>
      <c r="I1003" s="831" t="s">
        <v>126</v>
      </c>
      <c r="J1003" s="830" t="s">
        <v>138</v>
      </c>
      <c r="K1003" s="830" t="s">
        <v>139</v>
      </c>
    </row>
    <row r="1004" spans="1:11" x14ac:dyDescent="0.2">
      <c r="A1004" s="824"/>
      <c r="B1004" s="840"/>
      <c r="C1004" s="840"/>
      <c r="D1004" s="840"/>
      <c r="E1004" s="840"/>
      <c r="F1004" s="842"/>
      <c r="G1004" s="845"/>
      <c r="H1004" s="846"/>
      <c r="I1004" s="831"/>
      <c r="J1004" s="830"/>
      <c r="K1004" s="831"/>
    </row>
    <row r="1005" spans="1:11" x14ac:dyDescent="0.2">
      <c r="A1005" s="323"/>
      <c r="B1005" s="301"/>
      <c r="C1005" s="301"/>
      <c r="D1005" s="301"/>
      <c r="E1005" s="301"/>
      <c r="F1005" s="302"/>
      <c r="G1005" s="832"/>
      <c r="H1005" s="833"/>
      <c r="I1005" s="606"/>
      <c r="J1005" s="337"/>
      <c r="K1005" s="306"/>
    </row>
    <row r="1006" spans="1:11" x14ac:dyDescent="0.2">
      <c r="A1006" s="323"/>
      <c r="B1006" s="301"/>
      <c r="C1006" s="301"/>
      <c r="D1006" s="301"/>
      <c r="E1006" s="301"/>
      <c r="F1006" s="302"/>
      <c r="G1006" s="832"/>
      <c r="H1006" s="833"/>
      <c r="I1006" s="606"/>
      <c r="J1006" s="337"/>
      <c r="K1006" s="306"/>
    </row>
    <row r="1007" spans="1:11" x14ac:dyDescent="0.2">
      <c r="A1007" s="323"/>
      <c r="B1007" s="301"/>
      <c r="C1007" s="301"/>
      <c r="D1007" s="301"/>
      <c r="E1007" s="301"/>
      <c r="F1007" s="302"/>
      <c r="G1007" s="832"/>
      <c r="H1007" s="833"/>
      <c r="I1007" s="606"/>
      <c r="J1007" s="337"/>
      <c r="K1007" s="306"/>
    </row>
    <row r="1008" spans="1:11" x14ac:dyDescent="0.2">
      <c r="A1008" s="324"/>
      <c r="B1008" s="309"/>
      <c r="C1008" s="309"/>
      <c r="D1008" s="309"/>
      <c r="E1008" s="309"/>
      <c r="F1008" s="310"/>
      <c r="G1008" s="834"/>
      <c r="H1008" s="835"/>
      <c r="I1008" s="605"/>
      <c r="J1008" s="339"/>
      <c r="K1008" s="314"/>
    </row>
    <row r="1009" spans="1:11" x14ac:dyDescent="0.2">
      <c r="A1009" s="836" t="s">
        <v>142</v>
      </c>
      <c r="B1009" s="837"/>
      <c r="C1009" s="837"/>
      <c r="D1009" s="837"/>
      <c r="E1009" s="837"/>
      <c r="F1009" s="837"/>
      <c r="G1009" s="837"/>
      <c r="H1009" s="837"/>
      <c r="I1009" s="837"/>
      <c r="J1009" s="838"/>
      <c r="K1009" s="338"/>
    </row>
    <row r="1010" spans="1:11" x14ac:dyDescent="0.2">
      <c r="A1010" s="822" t="s">
        <v>143</v>
      </c>
      <c r="B1010" s="839"/>
      <c r="C1010" s="839"/>
      <c r="D1010" s="839"/>
      <c r="E1010" s="839"/>
      <c r="F1010" s="841"/>
      <c r="G1010" s="843" t="s">
        <v>42</v>
      </c>
      <c r="H1010" s="844"/>
      <c r="I1010" s="831" t="s">
        <v>126</v>
      </c>
      <c r="J1010" s="830" t="s">
        <v>138</v>
      </c>
      <c r="K1010" s="830" t="s">
        <v>139</v>
      </c>
    </row>
    <row r="1011" spans="1:11" x14ac:dyDescent="0.2">
      <c r="A1011" s="824"/>
      <c r="B1011" s="840"/>
      <c r="C1011" s="840"/>
      <c r="D1011" s="840"/>
      <c r="E1011" s="840"/>
      <c r="F1011" s="842"/>
      <c r="G1011" s="845"/>
      <c r="H1011" s="846"/>
      <c r="I1011" s="831"/>
      <c r="J1011" s="830"/>
      <c r="K1011" s="831"/>
    </row>
    <row r="1012" spans="1:11" x14ac:dyDescent="0.2">
      <c r="A1012" s="323"/>
      <c r="B1012" s="301"/>
      <c r="C1012" s="301"/>
      <c r="D1012" s="301"/>
      <c r="E1012" s="301"/>
      <c r="F1012" s="302"/>
      <c r="G1012" s="832"/>
      <c r="H1012" s="833"/>
      <c r="I1012" s="606"/>
      <c r="J1012" s="362"/>
      <c r="K1012" s="322"/>
    </row>
    <row r="1013" spans="1:11" x14ac:dyDescent="0.2">
      <c r="A1013" s="323"/>
      <c r="B1013" s="301"/>
      <c r="C1013" s="301"/>
      <c r="D1013" s="301"/>
      <c r="E1013" s="301"/>
      <c r="F1013" s="302"/>
      <c r="G1013" s="832"/>
      <c r="H1013" s="833"/>
      <c r="I1013" s="606"/>
      <c r="J1013" s="362"/>
      <c r="K1013" s="322"/>
    </row>
    <row r="1014" spans="1:11" x14ac:dyDescent="0.2">
      <c r="A1014" s="323"/>
      <c r="B1014" s="301"/>
      <c r="C1014" s="301"/>
      <c r="D1014" s="301"/>
      <c r="E1014" s="301"/>
      <c r="F1014" s="302"/>
      <c r="G1014" s="832"/>
      <c r="H1014" s="833"/>
      <c r="I1014" s="606"/>
      <c r="J1014" s="362"/>
      <c r="K1014" s="322"/>
    </row>
    <row r="1015" spans="1:11" x14ac:dyDescent="0.2">
      <c r="A1015" s="323"/>
      <c r="B1015" s="301"/>
      <c r="C1015" s="301"/>
      <c r="D1015" s="301"/>
      <c r="E1015" s="301"/>
      <c r="F1015" s="302"/>
      <c r="G1015" s="832"/>
      <c r="H1015" s="833"/>
      <c r="I1015" s="606"/>
      <c r="J1015" s="362"/>
      <c r="K1015" s="322"/>
    </row>
    <row r="1016" spans="1:11" x14ac:dyDescent="0.2">
      <c r="A1016" s="323"/>
      <c r="B1016" s="301"/>
      <c r="C1016" s="301"/>
      <c r="D1016" s="301"/>
      <c r="E1016" s="301"/>
      <c r="F1016" s="302"/>
      <c r="G1016" s="832"/>
      <c r="H1016" s="833"/>
      <c r="I1016" s="606"/>
      <c r="J1016" s="362"/>
      <c r="K1016" s="322"/>
    </row>
    <row r="1017" spans="1:11" x14ac:dyDescent="0.2">
      <c r="A1017" s="324"/>
      <c r="B1017" s="309"/>
      <c r="C1017" s="309"/>
      <c r="D1017" s="309"/>
      <c r="E1017" s="309"/>
      <c r="F1017" s="310"/>
      <c r="G1017" s="834"/>
      <c r="H1017" s="835"/>
      <c r="I1017" s="605"/>
      <c r="J1017" s="339"/>
      <c r="K1017" s="314"/>
    </row>
    <row r="1018" spans="1:11" x14ac:dyDescent="0.2">
      <c r="A1018" s="836" t="s">
        <v>144</v>
      </c>
      <c r="B1018" s="837"/>
      <c r="C1018" s="837"/>
      <c r="D1018" s="837"/>
      <c r="E1018" s="837"/>
      <c r="F1018" s="837"/>
      <c r="G1018" s="837"/>
      <c r="H1018" s="837"/>
      <c r="I1018" s="837"/>
      <c r="J1018" s="838"/>
      <c r="K1018" s="328">
        <f>SUM(K1012:K1017)</f>
        <v>0</v>
      </c>
    </row>
    <row r="1019" spans="1:11" x14ac:dyDescent="0.2">
      <c r="A1019" s="822" t="s">
        <v>145</v>
      </c>
      <c r="B1019" s="823"/>
      <c r="C1019" s="820" t="s">
        <v>146</v>
      </c>
      <c r="D1019" s="340" t="s">
        <v>147</v>
      </c>
      <c r="E1019" s="818" t="s">
        <v>148</v>
      </c>
      <c r="F1019" s="818"/>
      <c r="G1019" s="819"/>
      <c r="H1019" s="814" t="s">
        <v>149</v>
      </c>
      <c r="I1019" s="815"/>
      <c r="J1019" s="816"/>
      <c r="K1019" s="812" t="s">
        <v>150</v>
      </c>
    </row>
    <row r="1020" spans="1:11" x14ac:dyDescent="0.2">
      <c r="A1020" s="826"/>
      <c r="B1020" s="827"/>
      <c r="C1020" s="821"/>
      <c r="D1020" s="341"/>
      <c r="E1020" s="378" t="s">
        <v>151</v>
      </c>
      <c r="F1020" s="342" t="s">
        <v>152</v>
      </c>
      <c r="G1020" s="343" t="s">
        <v>153</v>
      </c>
      <c r="H1020" s="378" t="s">
        <v>151</v>
      </c>
      <c r="I1020" s="342" t="s">
        <v>152</v>
      </c>
      <c r="J1020" s="342" t="s">
        <v>153</v>
      </c>
      <c r="K1020" s="813"/>
    </row>
    <row r="1021" spans="1:11" x14ac:dyDescent="0.2">
      <c r="A1021" s="319"/>
      <c r="B1021" s="293"/>
      <c r="C1021" s="363"/>
      <c r="D1021" s="345"/>
      <c r="E1021" s="364"/>
      <c r="F1021" s="365"/>
      <c r="G1021" s="366"/>
      <c r="H1021" s="367"/>
      <c r="I1021" s="607"/>
      <c r="J1021" s="368"/>
      <c r="K1021" s="361"/>
    </row>
    <row r="1022" spans="1:11" x14ac:dyDescent="0.2">
      <c r="A1022" s="323"/>
      <c r="B1022" s="301"/>
      <c r="C1022" s="363"/>
      <c r="D1022" s="350"/>
      <c r="E1022" s="369"/>
      <c r="F1022" s="370"/>
      <c r="G1022" s="371"/>
      <c r="H1022" s="367"/>
      <c r="I1022" s="607"/>
      <c r="J1022" s="368"/>
      <c r="K1022" s="322"/>
    </row>
    <row r="1023" spans="1:11" x14ac:dyDescent="0.2">
      <c r="A1023" s="323"/>
      <c r="B1023" s="301"/>
      <c r="C1023" s="363"/>
      <c r="D1023" s="350"/>
      <c r="E1023" s="369"/>
      <c r="F1023" s="370"/>
      <c r="G1023" s="371"/>
      <c r="H1023" s="367"/>
      <c r="I1023" s="607"/>
      <c r="J1023" s="368"/>
      <c r="K1023" s="322"/>
    </row>
    <row r="1024" spans="1:11" x14ac:dyDescent="0.2">
      <c r="A1024" s="323"/>
      <c r="B1024" s="301"/>
      <c r="C1024" s="363"/>
      <c r="D1024" s="350"/>
      <c r="E1024" s="369"/>
      <c r="F1024" s="370"/>
      <c r="G1024" s="371"/>
      <c r="H1024" s="367"/>
      <c r="I1024" s="607"/>
      <c r="J1024" s="368"/>
      <c r="K1024" s="322"/>
    </row>
    <row r="1025" spans="1:11" x14ac:dyDescent="0.2">
      <c r="A1025" s="323"/>
      <c r="B1025" s="301"/>
      <c r="C1025" s="363"/>
      <c r="D1025" s="350"/>
      <c r="E1025" s="369"/>
      <c r="F1025" s="370"/>
      <c r="G1025" s="371"/>
      <c r="H1025" s="367"/>
      <c r="I1025" s="607"/>
      <c r="J1025" s="368"/>
      <c r="K1025" s="322"/>
    </row>
    <row r="1026" spans="1:11" x14ac:dyDescent="0.2">
      <c r="A1026" s="324"/>
      <c r="B1026" s="309"/>
      <c r="C1026" s="354"/>
      <c r="D1026" s="355"/>
      <c r="E1026" s="356"/>
      <c r="F1026" s="357"/>
      <c r="G1026" s="358"/>
      <c r="H1026" s="379"/>
      <c r="I1026" s="613"/>
      <c r="J1026" s="349"/>
      <c r="K1026" s="314"/>
    </row>
    <row r="1027" spans="1:11" x14ac:dyDescent="0.2">
      <c r="A1027" s="828" t="s">
        <v>154</v>
      </c>
      <c r="B1027" s="808"/>
      <c r="C1027" s="808"/>
      <c r="D1027" s="829"/>
      <c r="E1027" s="808"/>
      <c r="F1027" s="808"/>
      <c r="G1027" s="808"/>
      <c r="H1027" s="808"/>
      <c r="I1027" s="808"/>
      <c r="J1027" s="809"/>
      <c r="K1027" s="328">
        <f>SUM(K1021:K1026)</f>
        <v>0</v>
      </c>
    </row>
    <row r="1028" spans="1:11" x14ac:dyDescent="0.2">
      <c r="A1028" s="807" t="s">
        <v>155</v>
      </c>
      <c r="B1028" s="808"/>
      <c r="C1028" s="808"/>
      <c r="D1028" s="808"/>
      <c r="E1028" s="808"/>
      <c r="F1028" s="808"/>
      <c r="G1028" s="808"/>
      <c r="H1028" s="808"/>
      <c r="I1028" s="808"/>
      <c r="J1028" s="809"/>
      <c r="K1028" s="359">
        <f>ROUND((K989+K990+K991+K1002+K1018+K1027),2)</f>
        <v>185</v>
      </c>
    </row>
    <row r="1029" spans="1:11" x14ac:dyDescent="0.2">
      <c r="A1029" s="807" t="s">
        <v>23</v>
      </c>
      <c r="B1029" s="808"/>
      <c r="C1029" s="808"/>
      <c r="D1029" s="808"/>
      <c r="E1029" s="808"/>
      <c r="F1029" s="808"/>
      <c r="G1029" s="808"/>
      <c r="H1029" s="808"/>
      <c r="I1029" s="808"/>
      <c r="J1029" s="809"/>
      <c r="K1029" s="359">
        <f>ROUND((K1028*  10.37/100),4)</f>
        <v>19.1845</v>
      </c>
    </row>
    <row r="1030" spans="1:11" x14ac:dyDescent="0.2">
      <c r="A1030" s="807" t="s">
        <v>156</v>
      </c>
      <c r="B1030" s="808"/>
      <c r="C1030" s="808"/>
      <c r="D1030" s="808"/>
      <c r="E1030" s="808"/>
      <c r="F1030" s="808"/>
      <c r="G1030" s="808"/>
      <c r="H1030" s="808"/>
      <c r="I1030" s="808"/>
      <c r="J1030" s="809"/>
      <c r="K1030" s="359">
        <f>SUM(K1028:K1029)</f>
        <v>204.18450000000001</v>
      </c>
    </row>
    <row r="1033" spans="1:11" ht="56.25" customHeight="1" x14ac:dyDescent="0.2">
      <c r="A1033" s="804" t="s">
        <v>110</v>
      </c>
      <c r="B1033" s="805"/>
      <c r="C1033" s="805"/>
      <c r="D1033" s="805"/>
      <c r="E1033" s="805"/>
      <c r="F1033" s="805"/>
      <c r="G1033" s="805"/>
      <c r="H1033" s="805"/>
      <c r="I1033" s="805"/>
      <c r="J1033" s="805"/>
      <c r="K1033" s="806"/>
    </row>
    <row r="1034" spans="1:11" ht="18" customHeight="1" x14ac:dyDescent="0.2">
      <c r="A1034" s="275" t="s">
        <v>111</v>
      </c>
      <c r="B1034" s="276"/>
      <c r="C1034" s="802"/>
      <c r="D1034" s="802"/>
      <c r="E1034" s="802"/>
      <c r="F1034" s="802"/>
      <c r="G1034" s="802"/>
      <c r="H1034" s="802"/>
      <c r="I1034" s="802"/>
      <c r="J1034" s="802"/>
      <c r="K1034" s="803"/>
    </row>
    <row r="1035" spans="1:11" ht="18" customHeight="1" x14ac:dyDescent="0.2">
      <c r="A1035" s="275" t="s">
        <v>315</v>
      </c>
      <c r="B1035" s="276"/>
      <c r="C1035" s="277" t="s">
        <v>66</v>
      </c>
      <c r="E1035" s="810" t="s">
        <v>316</v>
      </c>
      <c r="F1035" s="810"/>
      <c r="G1035" s="810"/>
      <c r="H1035" s="279"/>
      <c r="I1035" s="604" t="s">
        <v>112</v>
      </c>
      <c r="J1035" s="810" t="s">
        <v>113</v>
      </c>
      <c r="K1035" s="811"/>
    </row>
    <row r="1036" spans="1:11" x14ac:dyDescent="0.2">
      <c r="A1036" s="280" t="s">
        <v>114</v>
      </c>
      <c r="B1036" s="281" t="s">
        <v>426</v>
      </c>
      <c r="C1036" s="282"/>
      <c r="D1036" s="282"/>
      <c r="E1036" s="282"/>
      <c r="F1036" s="282"/>
      <c r="G1036" s="282"/>
      <c r="H1036" s="282"/>
      <c r="I1036" s="282"/>
      <c r="J1036" s="282"/>
      <c r="K1036" s="283"/>
    </row>
    <row r="1037" spans="1:11" x14ac:dyDescent="0.2">
      <c r="A1037" s="284" t="s">
        <v>115</v>
      </c>
      <c r="B1037" s="285"/>
      <c r="D1037" s="286"/>
      <c r="E1037" s="286"/>
      <c r="F1037" s="286"/>
      <c r="G1037" s="286"/>
      <c r="H1037" s="286"/>
      <c r="I1037" s="603"/>
      <c r="J1037" s="287" t="s">
        <v>52</v>
      </c>
      <c r="K1037" s="288" t="s">
        <v>318</v>
      </c>
    </row>
    <row r="1038" spans="1:11" ht="23.25" customHeight="1" x14ac:dyDescent="0.2">
      <c r="A1038" s="869" t="s">
        <v>404</v>
      </c>
      <c r="B1038" s="870"/>
      <c r="C1038" s="870"/>
      <c r="D1038" s="870"/>
      <c r="E1038" s="870"/>
      <c r="F1038" s="870"/>
      <c r="G1038" s="870"/>
      <c r="H1038" s="870"/>
      <c r="I1038" s="871"/>
      <c r="J1038" s="289" t="s">
        <v>116</v>
      </c>
      <c r="K1038" s="288" t="s">
        <v>162</v>
      </c>
    </row>
    <row r="1039" spans="1:11" x14ac:dyDescent="0.2">
      <c r="A1039" s="826" t="s">
        <v>117</v>
      </c>
      <c r="B1039" s="872"/>
      <c r="C1039" s="839"/>
      <c r="D1039" s="839"/>
      <c r="E1039" s="823"/>
      <c r="F1039" s="290" t="s">
        <v>54</v>
      </c>
      <c r="G1039" s="873" t="s">
        <v>118</v>
      </c>
      <c r="H1039" s="874"/>
      <c r="I1039" s="813" t="s">
        <v>119</v>
      </c>
      <c r="J1039" s="813"/>
      <c r="K1039" s="867" t="s">
        <v>120</v>
      </c>
    </row>
    <row r="1040" spans="1:11" ht="25.5" x14ac:dyDescent="0.2">
      <c r="A1040" s="826"/>
      <c r="B1040" s="872"/>
      <c r="C1040" s="872"/>
      <c r="D1040" s="872"/>
      <c r="E1040" s="827"/>
      <c r="F1040" s="290"/>
      <c r="G1040" s="290" t="s">
        <v>121</v>
      </c>
      <c r="H1040" s="381" t="s">
        <v>122</v>
      </c>
      <c r="I1040" s="290" t="s">
        <v>123</v>
      </c>
      <c r="J1040" s="290" t="s">
        <v>122</v>
      </c>
      <c r="K1040" s="868"/>
    </row>
    <row r="1041" spans="1:11" s="299" customFormat="1" ht="22.5" x14ac:dyDescent="0.25">
      <c r="A1041" s="291" t="s">
        <v>395</v>
      </c>
      <c r="B1041" s="292" t="s">
        <v>396</v>
      </c>
      <c r="C1041" s="292"/>
      <c r="D1041" s="292"/>
      <c r="E1041" s="293"/>
      <c r="F1041" s="294">
        <v>1</v>
      </c>
      <c r="G1041" s="295">
        <v>0.45</v>
      </c>
      <c r="H1041" s="296">
        <v>0.55000000000000004</v>
      </c>
      <c r="I1041" s="602">
        <v>190.3587</v>
      </c>
      <c r="J1041" s="297">
        <v>87.445599999999999</v>
      </c>
      <c r="K1041" s="298">
        <f>ROUND((ROUND((G1041*I1041+H1041*J1041),4)*F1041),4)</f>
        <v>133.75649999999999</v>
      </c>
    </row>
    <row r="1042" spans="1:11" s="299" customFormat="1" ht="22.5" x14ac:dyDescent="0.25">
      <c r="A1042" s="300" t="s">
        <v>427</v>
      </c>
      <c r="B1042" s="301" t="s">
        <v>428</v>
      </c>
      <c r="C1042" s="301"/>
      <c r="D1042" s="301"/>
      <c r="E1042" s="302"/>
      <c r="F1042" s="303">
        <v>1</v>
      </c>
      <c r="G1042" s="372">
        <v>1</v>
      </c>
      <c r="H1042" s="373">
        <v>0</v>
      </c>
      <c r="I1042" s="601">
        <v>50.253100000000003</v>
      </c>
      <c r="J1042" s="321">
        <v>40.886000000000003</v>
      </c>
      <c r="K1042" s="374">
        <f>ROUND((ROUND((G1042*I1042+H1042*J1042),4)*F1042),4)</f>
        <v>50.253100000000003</v>
      </c>
    </row>
    <row r="1043" spans="1:11" s="299" customFormat="1" x14ac:dyDescent="0.25">
      <c r="A1043" s="300" t="s">
        <v>166</v>
      </c>
      <c r="B1043" s="301" t="s">
        <v>167</v>
      </c>
      <c r="C1043" s="301"/>
      <c r="D1043" s="301"/>
      <c r="E1043" s="302"/>
      <c r="F1043" s="303">
        <v>1</v>
      </c>
      <c r="G1043" s="372">
        <v>1</v>
      </c>
      <c r="H1043" s="373">
        <v>0</v>
      </c>
      <c r="I1043" s="601">
        <v>105.3276</v>
      </c>
      <c r="J1043" s="321">
        <v>5.3692000000000002</v>
      </c>
      <c r="K1043" s="374">
        <f>ROUND((ROUND((G1043*I1043+H1043*J1043),4)*F1043),4)</f>
        <v>105.3276</v>
      </c>
    </row>
    <row r="1044" spans="1:11" s="299" customFormat="1" x14ac:dyDescent="0.25">
      <c r="A1044" s="300"/>
      <c r="B1044" s="301"/>
      <c r="C1044" s="301"/>
      <c r="D1044" s="301"/>
      <c r="E1044" s="302"/>
      <c r="F1044" s="303"/>
      <c r="G1044" s="304"/>
      <c r="H1044" s="305"/>
      <c r="I1044" s="600"/>
      <c r="J1044" s="306"/>
      <c r="K1044" s="307"/>
    </row>
    <row r="1045" spans="1:11" s="299" customFormat="1" x14ac:dyDescent="0.25">
      <c r="A1045" s="300"/>
      <c r="B1045" s="301"/>
      <c r="C1045" s="301"/>
      <c r="D1045" s="301"/>
      <c r="E1045" s="302"/>
      <c r="F1045" s="303"/>
      <c r="G1045" s="304"/>
      <c r="H1045" s="305"/>
      <c r="I1045" s="600"/>
      <c r="J1045" s="306"/>
      <c r="K1045" s="307"/>
    </row>
    <row r="1046" spans="1:11" s="299" customFormat="1" x14ac:dyDescent="0.25">
      <c r="A1046" s="300"/>
      <c r="B1046" s="301"/>
      <c r="C1046" s="301"/>
      <c r="D1046" s="301"/>
      <c r="E1046" s="302"/>
      <c r="F1046" s="303"/>
      <c r="G1046" s="304"/>
      <c r="H1046" s="305"/>
      <c r="I1046" s="600"/>
      <c r="J1046" s="306"/>
      <c r="K1046" s="307"/>
    </row>
    <row r="1047" spans="1:11" s="299" customFormat="1" x14ac:dyDescent="0.25">
      <c r="A1047" s="300"/>
      <c r="B1047" s="301"/>
      <c r="C1047" s="301"/>
      <c r="D1047" s="301"/>
      <c r="E1047" s="302"/>
      <c r="F1047" s="303"/>
      <c r="G1047" s="304"/>
      <c r="H1047" s="305"/>
      <c r="I1047" s="600"/>
      <c r="J1047" s="306"/>
      <c r="K1047" s="307"/>
    </row>
    <row r="1048" spans="1:11" s="299" customFormat="1" x14ac:dyDescent="0.25">
      <c r="A1048" s="308"/>
      <c r="B1048" s="309"/>
      <c r="C1048" s="309"/>
      <c r="D1048" s="309"/>
      <c r="E1048" s="310"/>
      <c r="F1048" s="311"/>
      <c r="G1048" s="312"/>
      <c r="H1048" s="313"/>
      <c r="I1048" s="611"/>
      <c r="J1048" s="314"/>
      <c r="K1048" s="315"/>
    </row>
    <row r="1049" spans="1:11" x14ac:dyDescent="0.2">
      <c r="A1049" s="861" t="s">
        <v>124</v>
      </c>
      <c r="B1049" s="862"/>
      <c r="C1049" s="862"/>
      <c r="D1049" s="862"/>
      <c r="E1049" s="862"/>
      <c r="F1049" s="837"/>
      <c r="G1049" s="837"/>
      <c r="H1049" s="837"/>
      <c r="I1049" s="837"/>
      <c r="J1049" s="838"/>
      <c r="K1049" s="316">
        <f>SUM(K1041:K1048)</f>
        <v>289.3372</v>
      </c>
    </row>
    <row r="1050" spans="1:11" ht="15.75" customHeight="1" x14ac:dyDescent="0.2">
      <c r="A1050" s="822" t="s">
        <v>125</v>
      </c>
      <c r="B1050" s="839"/>
      <c r="C1050" s="839"/>
      <c r="D1050" s="839"/>
      <c r="E1050" s="839"/>
      <c r="F1050" s="317"/>
      <c r="G1050" s="317"/>
      <c r="H1050" s="863" t="s">
        <v>54</v>
      </c>
      <c r="I1050" s="865" t="s">
        <v>126</v>
      </c>
      <c r="J1050" s="867" t="s">
        <v>127</v>
      </c>
      <c r="K1050" s="867" t="s">
        <v>120</v>
      </c>
    </row>
    <row r="1051" spans="1:11" ht="21.75" customHeight="1" x14ac:dyDescent="0.25">
      <c r="A1051" s="824"/>
      <c r="B1051" s="840"/>
      <c r="C1051" s="840"/>
      <c r="D1051" s="840"/>
      <c r="E1051" s="840"/>
      <c r="F1051" s="318"/>
      <c r="G1051" s="269"/>
      <c r="H1051" s="864"/>
      <c r="I1051" s="866"/>
      <c r="J1051" s="868"/>
      <c r="K1051" s="868"/>
    </row>
    <row r="1052" spans="1:11" x14ac:dyDescent="0.2">
      <c r="A1052" s="319" t="s">
        <v>128</v>
      </c>
      <c r="B1052" s="859" t="s">
        <v>129</v>
      </c>
      <c r="C1052" s="859"/>
      <c r="D1052" s="859"/>
      <c r="E1052" s="859"/>
      <c r="F1052" s="859"/>
      <c r="G1052" s="860"/>
      <c r="H1052" s="320">
        <v>3</v>
      </c>
      <c r="I1052" s="609" t="s">
        <v>130</v>
      </c>
      <c r="J1052" s="321">
        <v>18.5961</v>
      </c>
      <c r="K1052" s="322">
        <f>ROUND((H1052*J1052),4)</f>
        <v>55.7883</v>
      </c>
    </row>
    <row r="1053" spans="1:11" x14ac:dyDescent="0.2">
      <c r="A1053" s="323"/>
      <c r="B1053" s="849"/>
      <c r="C1053" s="849"/>
      <c r="D1053" s="849"/>
      <c r="E1053" s="849"/>
      <c r="F1053" s="849"/>
      <c r="G1053" s="850"/>
      <c r="H1053" s="320"/>
      <c r="I1053" s="609"/>
      <c r="J1053" s="306"/>
      <c r="K1053" s="306"/>
    </row>
    <row r="1054" spans="1:11" x14ac:dyDescent="0.2">
      <c r="A1054" s="323"/>
      <c r="B1054" s="849"/>
      <c r="C1054" s="849"/>
      <c r="D1054" s="849"/>
      <c r="E1054" s="849"/>
      <c r="F1054" s="849"/>
      <c r="G1054" s="850"/>
      <c r="H1054" s="320"/>
      <c r="I1054" s="609"/>
      <c r="J1054" s="306"/>
      <c r="K1054" s="306"/>
    </row>
    <row r="1055" spans="1:11" x14ac:dyDescent="0.2">
      <c r="A1055" s="323"/>
      <c r="B1055" s="849"/>
      <c r="C1055" s="849"/>
      <c r="D1055" s="849"/>
      <c r="E1055" s="849"/>
      <c r="F1055" s="849"/>
      <c r="G1055" s="850"/>
      <c r="H1055" s="320"/>
      <c r="I1055" s="609"/>
      <c r="J1055" s="306"/>
      <c r="K1055" s="306"/>
    </row>
    <row r="1056" spans="1:11" x14ac:dyDescent="0.2">
      <c r="A1056" s="323"/>
      <c r="B1056" s="849"/>
      <c r="C1056" s="849"/>
      <c r="D1056" s="849"/>
      <c r="E1056" s="849"/>
      <c r="F1056" s="849"/>
      <c r="G1056" s="850"/>
      <c r="H1056" s="320"/>
      <c r="I1056" s="609"/>
      <c r="J1056" s="306"/>
      <c r="K1056" s="306"/>
    </row>
    <row r="1057" spans="1:11" x14ac:dyDescent="0.2">
      <c r="A1057" s="323"/>
      <c r="B1057" s="849"/>
      <c r="C1057" s="849"/>
      <c r="D1057" s="849"/>
      <c r="E1057" s="849"/>
      <c r="F1057" s="849"/>
      <c r="G1057" s="850"/>
      <c r="H1057" s="320"/>
      <c r="I1057" s="609"/>
      <c r="J1057" s="306"/>
      <c r="K1057" s="306"/>
    </row>
    <row r="1058" spans="1:11" x14ac:dyDescent="0.2">
      <c r="A1058" s="323"/>
      <c r="B1058" s="849"/>
      <c r="C1058" s="849"/>
      <c r="D1058" s="849"/>
      <c r="E1058" s="849"/>
      <c r="F1058" s="849"/>
      <c r="G1058" s="850"/>
      <c r="H1058" s="320"/>
      <c r="I1058" s="609"/>
      <c r="J1058" s="306"/>
      <c r="K1058" s="306"/>
    </row>
    <row r="1059" spans="1:11" x14ac:dyDescent="0.2">
      <c r="A1059" s="324"/>
      <c r="B1059" s="851"/>
      <c r="C1059" s="851"/>
      <c r="D1059" s="851"/>
      <c r="E1059" s="851"/>
      <c r="F1059" s="851"/>
      <c r="G1059" s="852"/>
      <c r="H1059" s="325"/>
      <c r="I1059" s="608"/>
      <c r="J1059" s="314"/>
      <c r="K1059" s="314"/>
    </row>
    <row r="1060" spans="1:11" ht="15" x14ac:dyDescent="0.25">
      <c r="A1060" s="326"/>
      <c r="C1060" s="270"/>
      <c r="D1060" s="836" t="s">
        <v>131</v>
      </c>
      <c r="E1060" s="837"/>
      <c r="F1060" s="837"/>
      <c r="G1060" s="837"/>
      <c r="H1060" s="837"/>
      <c r="I1060" s="837"/>
      <c r="J1060" s="838"/>
      <c r="K1060" s="328">
        <f>SUM(K1052:K1059)</f>
        <v>55.7883</v>
      </c>
    </row>
    <row r="1061" spans="1:11" x14ac:dyDescent="0.2">
      <c r="A1061" s="326" t="s">
        <v>132</v>
      </c>
      <c r="B1061" s="329"/>
      <c r="C1061" s="330">
        <v>33.200000000000003</v>
      </c>
      <c r="D1061" s="853" t="s">
        <v>133</v>
      </c>
      <c r="E1061" s="854"/>
      <c r="F1061" s="854"/>
      <c r="G1061" s="854"/>
      <c r="H1061" s="854"/>
      <c r="I1061" s="854"/>
      <c r="J1061" s="855"/>
      <c r="K1061" s="328">
        <f>K1049+K1060</f>
        <v>345.12549999999999</v>
      </c>
    </row>
    <row r="1062" spans="1:11" x14ac:dyDescent="0.2">
      <c r="A1062" s="331"/>
      <c r="B1062" s="329"/>
      <c r="C1062" s="332"/>
      <c r="D1062" s="856" t="s">
        <v>134</v>
      </c>
      <c r="E1062" s="856"/>
      <c r="F1062" s="857"/>
      <c r="G1062" s="857"/>
      <c r="H1062" s="857"/>
      <c r="I1062" s="857"/>
      <c r="J1062" s="858"/>
      <c r="K1062" s="328">
        <f>ROUND((K1061/C1061),4)</f>
        <v>10.395300000000001</v>
      </c>
    </row>
    <row r="1063" spans="1:11" x14ac:dyDescent="0.2">
      <c r="A1063" s="326"/>
      <c r="B1063" s="329"/>
      <c r="C1063" s="333"/>
      <c r="D1063" s="380"/>
      <c r="E1063" s="380"/>
      <c r="F1063" s="380"/>
      <c r="G1063" s="380"/>
      <c r="H1063" s="380"/>
      <c r="I1063" s="610" t="s">
        <v>135</v>
      </c>
      <c r="J1063" s="334" t="s">
        <v>160</v>
      </c>
      <c r="K1063" s="328">
        <v>0</v>
      </c>
    </row>
    <row r="1064" spans="1:11" x14ac:dyDescent="0.2">
      <c r="A1064" s="326"/>
      <c r="B1064" s="329"/>
      <c r="C1064" s="333"/>
      <c r="D1064" s="380"/>
      <c r="E1064" s="380"/>
      <c r="F1064" s="380"/>
      <c r="G1064" s="380"/>
      <c r="H1064" s="380"/>
      <c r="I1064" s="610" t="s">
        <v>136</v>
      </c>
      <c r="J1064" s="334" t="s">
        <v>160</v>
      </c>
      <c r="K1064" s="328">
        <v>0</v>
      </c>
    </row>
    <row r="1065" spans="1:11" x14ac:dyDescent="0.2">
      <c r="A1065" s="822" t="s">
        <v>137</v>
      </c>
      <c r="B1065" s="839"/>
      <c r="C1065" s="839"/>
      <c r="D1065" s="839"/>
      <c r="E1065" s="839"/>
      <c r="F1065" s="841"/>
      <c r="G1065" s="843" t="s">
        <v>42</v>
      </c>
      <c r="H1065" s="844"/>
      <c r="I1065" s="831" t="s">
        <v>126</v>
      </c>
      <c r="J1065" s="830" t="s">
        <v>138</v>
      </c>
      <c r="K1065" s="830" t="s">
        <v>139</v>
      </c>
    </row>
    <row r="1066" spans="1:11" x14ac:dyDescent="0.2">
      <c r="A1066" s="824"/>
      <c r="B1066" s="840"/>
      <c r="C1066" s="840"/>
      <c r="D1066" s="840"/>
      <c r="E1066" s="840"/>
      <c r="F1066" s="842"/>
      <c r="G1066" s="845"/>
      <c r="H1066" s="846"/>
      <c r="I1066" s="831"/>
      <c r="J1066" s="830"/>
      <c r="K1066" s="831"/>
    </row>
    <row r="1067" spans="1:11" x14ac:dyDescent="0.2">
      <c r="A1067" s="323" t="s">
        <v>421</v>
      </c>
      <c r="B1067" s="301" t="s">
        <v>422</v>
      </c>
      <c r="C1067" s="301"/>
      <c r="D1067" s="301"/>
      <c r="E1067" s="301"/>
      <c r="F1067" s="293"/>
      <c r="G1067" s="847">
        <v>0.2</v>
      </c>
      <c r="H1067" s="848"/>
      <c r="I1067" s="599" t="s">
        <v>163</v>
      </c>
      <c r="J1067" s="360">
        <v>118.8789</v>
      </c>
      <c r="K1067" s="361">
        <f>ROUND((G1067*J1067),4)</f>
        <v>23.7758</v>
      </c>
    </row>
    <row r="1068" spans="1:11" x14ac:dyDescent="0.2">
      <c r="A1068" s="323" t="s">
        <v>429</v>
      </c>
      <c r="B1068" s="301" t="s">
        <v>430</v>
      </c>
      <c r="C1068" s="301"/>
      <c r="D1068" s="301"/>
      <c r="E1068" s="301"/>
      <c r="F1068" s="302"/>
      <c r="G1068" s="832">
        <v>0.8</v>
      </c>
      <c r="H1068" s="833"/>
      <c r="I1068" s="606" t="s">
        <v>163</v>
      </c>
      <c r="J1068" s="362">
        <v>103.1067</v>
      </c>
      <c r="K1068" s="322">
        <f>ROUND((G1068*J1068),4)</f>
        <v>82.485399999999998</v>
      </c>
    </row>
    <row r="1069" spans="1:11" x14ac:dyDescent="0.2">
      <c r="A1069" s="323"/>
      <c r="B1069" s="301"/>
      <c r="C1069" s="301"/>
      <c r="D1069" s="301"/>
      <c r="E1069" s="301"/>
      <c r="F1069" s="302"/>
      <c r="G1069" s="832"/>
      <c r="H1069" s="833"/>
      <c r="I1069" s="606"/>
      <c r="J1069" s="337"/>
      <c r="K1069" s="306"/>
    </row>
    <row r="1070" spans="1:11" x14ac:dyDescent="0.2">
      <c r="A1070" s="323"/>
      <c r="B1070" s="301"/>
      <c r="C1070" s="301"/>
      <c r="D1070" s="301"/>
      <c r="E1070" s="301"/>
      <c r="F1070" s="302"/>
      <c r="G1070" s="832"/>
      <c r="H1070" s="833"/>
      <c r="I1070" s="606"/>
      <c r="J1070" s="337"/>
      <c r="K1070" s="306"/>
    </row>
    <row r="1071" spans="1:11" x14ac:dyDescent="0.2">
      <c r="A1071" s="836" t="s">
        <v>140</v>
      </c>
      <c r="B1071" s="837"/>
      <c r="C1071" s="837"/>
      <c r="D1071" s="837"/>
      <c r="E1071" s="837"/>
      <c r="F1071" s="837"/>
      <c r="G1071" s="837"/>
      <c r="H1071" s="837"/>
      <c r="I1071" s="837"/>
      <c r="J1071" s="838"/>
      <c r="K1071" s="328">
        <f>SUM(K1067:K1070)</f>
        <v>106.2612</v>
      </c>
    </row>
    <row r="1072" spans="1:11" x14ac:dyDescent="0.2">
      <c r="A1072" s="822" t="s">
        <v>141</v>
      </c>
      <c r="B1072" s="839"/>
      <c r="C1072" s="839"/>
      <c r="D1072" s="839"/>
      <c r="E1072" s="839"/>
      <c r="F1072" s="841"/>
      <c r="G1072" s="843" t="s">
        <v>42</v>
      </c>
      <c r="H1072" s="844"/>
      <c r="I1072" s="831" t="s">
        <v>126</v>
      </c>
      <c r="J1072" s="830" t="s">
        <v>138</v>
      </c>
      <c r="K1072" s="830" t="s">
        <v>139</v>
      </c>
    </row>
    <row r="1073" spans="1:11" x14ac:dyDescent="0.2">
      <c r="A1073" s="824"/>
      <c r="B1073" s="840"/>
      <c r="C1073" s="840"/>
      <c r="D1073" s="840"/>
      <c r="E1073" s="840"/>
      <c r="F1073" s="842"/>
      <c r="G1073" s="845"/>
      <c r="H1073" s="846"/>
      <c r="I1073" s="831"/>
      <c r="J1073" s="830"/>
      <c r="K1073" s="831"/>
    </row>
    <row r="1074" spans="1:11" x14ac:dyDescent="0.2">
      <c r="A1074" s="323"/>
      <c r="B1074" s="301"/>
      <c r="C1074" s="301"/>
      <c r="D1074" s="301"/>
      <c r="E1074" s="301"/>
      <c r="F1074" s="302"/>
      <c r="G1074" s="832"/>
      <c r="H1074" s="833"/>
      <c r="I1074" s="606"/>
      <c r="J1074" s="337"/>
      <c r="K1074" s="306"/>
    </row>
    <row r="1075" spans="1:11" x14ac:dyDescent="0.2">
      <c r="A1075" s="323"/>
      <c r="B1075" s="301"/>
      <c r="C1075" s="301"/>
      <c r="D1075" s="301"/>
      <c r="E1075" s="301"/>
      <c r="F1075" s="302"/>
      <c r="G1075" s="832"/>
      <c r="H1075" s="833"/>
      <c r="I1075" s="606"/>
      <c r="J1075" s="337"/>
      <c r="K1075" s="306"/>
    </row>
    <row r="1076" spans="1:11" x14ac:dyDescent="0.2">
      <c r="A1076" s="323"/>
      <c r="B1076" s="301"/>
      <c r="C1076" s="301"/>
      <c r="D1076" s="301"/>
      <c r="E1076" s="301"/>
      <c r="F1076" s="302"/>
      <c r="G1076" s="832"/>
      <c r="H1076" s="833"/>
      <c r="I1076" s="606"/>
      <c r="J1076" s="337"/>
      <c r="K1076" s="306"/>
    </row>
    <row r="1077" spans="1:11" x14ac:dyDescent="0.2">
      <c r="A1077" s="324"/>
      <c r="B1077" s="309"/>
      <c r="C1077" s="309"/>
      <c r="D1077" s="309"/>
      <c r="E1077" s="309"/>
      <c r="F1077" s="310"/>
      <c r="G1077" s="834"/>
      <c r="H1077" s="835"/>
      <c r="I1077" s="605"/>
      <c r="J1077" s="339"/>
      <c r="K1077" s="314"/>
    </row>
    <row r="1078" spans="1:11" x14ac:dyDescent="0.2">
      <c r="A1078" s="836" t="s">
        <v>142</v>
      </c>
      <c r="B1078" s="837"/>
      <c r="C1078" s="837"/>
      <c r="D1078" s="837"/>
      <c r="E1078" s="837"/>
      <c r="F1078" s="837"/>
      <c r="G1078" s="837"/>
      <c r="H1078" s="837"/>
      <c r="I1078" s="837"/>
      <c r="J1078" s="838"/>
      <c r="K1078" s="338"/>
    </row>
    <row r="1079" spans="1:11" x14ac:dyDescent="0.2">
      <c r="A1079" s="822" t="s">
        <v>143</v>
      </c>
      <c r="B1079" s="839"/>
      <c r="C1079" s="839"/>
      <c r="D1079" s="839"/>
      <c r="E1079" s="839"/>
      <c r="F1079" s="841"/>
      <c r="G1079" s="843" t="s">
        <v>42</v>
      </c>
      <c r="H1079" s="844"/>
      <c r="I1079" s="831" t="s">
        <v>126</v>
      </c>
      <c r="J1079" s="830" t="s">
        <v>138</v>
      </c>
      <c r="K1079" s="830" t="s">
        <v>139</v>
      </c>
    </row>
    <row r="1080" spans="1:11" x14ac:dyDescent="0.2">
      <c r="A1080" s="824"/>
      <c r="B1080" s="840"/>
      <c r="C1080" s="840"/>
      <c r="D1080" s="840"/>
      <c r="E1080" s="840"/>
      <c r="F1080" s="842"/>
      <c r="G1080" s="845"/>
      <c r="H1080" s="846"/>
      <c r="I1080" s="831"/>
      <c r="J1080" s="830"/>
      <c r="K1080" s="831"/>
    </row>
    <row r="1081" spans="1:11" x14ac:dyDescent="0.2">
      <c r="A1081" s="323" t="s">
        <v>423</v>
      </c>
      <c r="B1081" s="301" t="s">
        <v>424</v>
      </c>
      <c r="C1081" s="301"/>
      <c r="D1081" s="301"/>
      <c r="E1081" s="301"/>
      <c r="F1081" s="302"/>
      <c r="G1081" s="832">
        <v>0.3</v>
      </c>
      <c r="H1081" s="833"/>
      <c r="I1081" s="606" t="s">
        <v>158</v>
      </c>
      <c r="J1081" s="362">
        <v>1.7</v>
      </c>
      <c r="K1081" s="322">
        <f>ROUND((G1081*J1081),4)</f>
        <v>0.51</v>
      </c>
    </row>
    <row r="1082" spans="1:11" x14ac:dyDescent="0.2">
      <c r="A1082" s="323" t="s">
        <v>431</v>
      </c>
      <c r="B1082" s="301" t="s">
        <v>432</v>
      </c>
      <c r="C1082" s="301"/>
      <c r="D1082" s="301"/>
      <c r="E1082" s="301"/>
      <c r="F1082" s="302"/>
      <c r="G1082" s="832">
        <v>1.2</v>
      </c>
      <c r="H1082" s="833"/>
      <c r="I1082" s="606" t="s">
        <v>158</v>
      </c>
      <c r="J1082" s="362">
        <v>1.7</v>
      </c>
      <c r="K1082" s="322">
        <f>ROUND((G1082*J1082),4)</f>
        <v>2.04</v>
      </c>
    </row>
    <row r="1083" spans="1:11" x14ac:dyDescent="0.2">
      <c r="A1083" s="323"/>
      <c r="B1083" s="301"/>
      <c r="C1083" s="301"/>
      <c r="D1083" s="301"/>
      <c r="E1083" s="301"/>
      <c r="F1083" s="302"/>
      <c r="G1083" s="832"/>
      <c r="H1083" s="833"/>
      <c r="I1083" s="606"/>
      <c r="J1083" s="337"/>
      <c r="K1083" s="306"/>
    </row>
    <row r="1084" spans="1:11" x14ac:dyDescent="0.2">
      <c r="A1084" s="324"/>
      <c r="B1084" s="309"/>
      <c r="C1084" s="309"/>
      <c r="D1084" s="309"/>
      <c r="E1084" s="309"/>
      <c r="F1084" s="310"/>
      <c r="G1084" s="834"/>
      <c r="H1084" s="835"/>
      <c r="I1084" s="605"/>
      <c r="J1084" s="339"/>
      <c r="K1084" s="314"/>
    </row>
    <row r="1085" spans="1:11" x14ac:dyDescent="0.2">
      <c r="A1085" s="836" t="s">
        <v>144</v>
      </c>
      <c r="B1085" s="837"/>
      <c r="C1085" s="837"/>
      <c r="D1085" s="837"/>
      <c r="E1085" s="837"/>
      <c r="F1085" s="837"/>
      <c r="G1085" s="837"/>
      <c r="H1085" s="837"/>
      <c r="I1085" s="837"/>
      <c r="J1085" s="838"/>
      <c r="K1085" s="328">
        <f>SUM(K1081:K1084)</f>
        <v>2.5499999999999998</v>
      </c>
    </row>
    <row r="1086" spans="1:11" x14ac:dyDescent="0.2">
      <c r="A1086" s="822" t="s">
        <v>145</v>
      </c>
      <c r="B1086" s="823"/>
      <c r="C1086" s="820" t="s">
        <v>146</v>
      </c>
      <c r="D1086" s="340" t="s">
        <v>147</v>
      </c>
      <c r="E1086" s="818" t="s">
        <v>148</v>
      </c>
      <c r="F1086" s="818"/>
      <c r="G1086" s="819"/>
      <c r="H1086" s="814" t="s">
        <v>149</v>
      </c>
      <c r="I1086" s="815"/>
      <c r="J1086" s="816"/>
      <c r="K1086" s="812" t="s">
        <v>150</v>
      </c>
    </row>
    <row r="1087" spans="1:11" x14ac:dyDescent="0.2">
      <c r="A1087" s="826"/>
      <c r="B1087" s="827"/>
      <c r="C1087" s="821"/>
      <c r="D1087" s="341"/>
      <c r="E1087" s="378" t="s">
        <v>151</v>
      </c>
      <c r="F1087" s="342" t="s">
        <v>152</v>
      </c>
      <c r="G1087" s="343" t="s">
        <v>153</v>
      </c>
      <c r="H1087" s="378" t="s">
        <v>151</v>
      </c>
      <c r="I1087" s="342" t="s">
        <v>152</v>
      </c>
      <c r="J1087" s="342" t="s">
        <v>153</v>
      </c>
      <c r="K1087" s="813"/>
    </row>
    <row r="1088" spans="1:11" x14ac:dyDescent="0.2">
      <c r="A1088" s="319" t="s">
        <v>425</v>
      </c>
      <c r="B1088" s="293" t="s">
        <v>424</v>
      </c>
      <c r="C1088" s="363">
        <v>0.3</v>
      </c>
      <c r="D1088" s="345" t="s">
        <v>159</v>
      </c>
      <c r="E1088" s="364">
        <v>1.2</v>
      </c>
      <c r="F1088" s="365">
        <v>0.96</v>
      </c>
      <c r="G1088" s="366">
        <v>0.77</v>
      </c>
      <c r="H1088" s="367">
        <v>0</v>
      </c>
      <c r="I1088" s="607">
        <v>0</v>
      </c>
      <c r="J1088" s="368">
        <v>0</v>
      </c>
      <c r="K1088" s="361">
        <f>ROUND((ROUND(E1088*H1088+F1088*I1088+G1088*J1088,2)*C1088),4)</f>
        <v>0</v>
      </c>
    </row>
    <row r="1089" spans="1:11" x14ac:dyDescent="0.2">
      <c r="A1089" s="323" t="s">
        <v>433</v>
      </c>
      <c r="B1089" s="301" t="s">
        <v>432</v>
      </c>
      <c r="C1089" s="363">
        <v>1.2</v>
      </c>
      <c r="D1089" s="350" t="s">
        <v>159</v>
      </c>
      <c r="E1089" s="369">
        <v>1.2</v>
      </c>
      <c r="F1089" s="370">
        <v>0.96</v>
      </c>
      <c r="G1089" s="371">
        <v>0.77</v>
      </c>
      <c r="H1089" s="367">
        <v>0</v>
      </c>
      <c r="I1089" s="607">
        <v>0</v>
      </c>
      <c r="J1089" s="368">
        <v>0</v>
      </c>
      <c r="K1089" s="322">
        <f>ROUND((ROUND(E1089*H1089+F1089*I1089+G1089*J1089,2)*C1089),4)</f>
        <v>0</v>
      </c>
    </row>
    <row r="1090" spans="1:11" x14ac:dyDescent="0.2">
      <c r="A1090" s="323"/>
      <c r="B1090" s="301"/>
      <c r="C1090" s="344"/>
      <c r="D1090" s="350"/>
      <c r="E1090" s="351"/>
      <c r="F1090" s="352"/>
      <c r="G1090" s="353"/>
      <c r="H1090" s="379"/>
      <c r="I1090" s="613"/>
      <c r="J1090" s="349"/>
      <c r="K1090" s="306"/>
    </row>
    <row r="1091" spans="1:11" x14ac:dyDescent="0.2">
      <c r="A1091" s="324"/>
      <c r="B1091" s="309"/>
      <c r="C1091" s="354"/>
      <c r="D1091" s="355"/>
      <c r="E1091" s="356"/>
      <c r="F1091" s="357"/>
      <c r="G1091" s="358"/>
      <c r="H1091" s="379"/>
      <c r="I1091" s="613"/>
      <c r="J1091" s="349"/>
      <c r="K1091" s="314"/>
    </row>
    <row r="1092" spans="1:11" x14ac:dyDescent="0.2">
      <c r="A1092" s="828" t="s">
        <v>154</v>
      </c>
      <c r="B1092" s="808"/>
      <c r="C1092" s="808"/>
      <c r="D1092" s="829"/>
      <c r="E1092" s="808"/>
      <c r="F1092" s="808"/>
      <c r="G1092" s="808"/>
      <c r="H1092" s="808"/>
      <c r="I1092" s="808"/>
      <c r="J1092" s="809"/>
      <c r="K1092" s="328">
        <f>SUM(K1088:K1091)</f>
        <v>0</v>
      </c>
    </row>
    <row r="1093" spans="1:11" x14ac:dyDescent="0.2">
      <c r="A1093" s="807" t="s">
        <v>155</v>
      </c>
      <c r="B1093" s="808"/>
      <c r="C1093" s="808"/>
      <c r="D1093" s="808"/>
      <c r="E1093" s="808"/>
      <c r="F1093" s="808"/>
      <c r="G1093" s="808"/>
      <c r="H1093" s="808"/>
      <c r="I1093" s="808"/>
      <c r="J1093" s="809"/>
      <c r="K1093" s="359">
        <f>ROUND((K1062+K1063+K1064+K1071+K1085+K1092),2)</f>
        <v>119.21</v>
      </c>
    </row>
    <row r="1094" spans="1:11" x14ac:dyDescent="0.2">
      <c r="A1094" s="807" t="s">
        <v>23</v>
      </c>
      <c r="B1094" s="808"/>
      <c r="C1094" s="808"/>
      <c r="D1094" s="808"/>
      <c r="E1094" s="808"/>
      <c r="F1094" s="808"/>
      <c r="G1094" s="808"/>
      <c r="H1094" s="808"/>
      <c r="I1094" s="808"/>
      <c r="J1094" s="809"/>
      <c r="K1094" s="359"/>
    </row>
    <row r="1095" spans="1:11" x14ac:dyDescent="0.2">
      <c r="A1095" s="807" t="s">
        <v>156</v>
      </c>
      <c r="B1095" s="808"/>
      <c r="C1095" s="808"/>
      <c r="D1095" s="808"/>
      <c r="E1095" s="808"/>
      <c r="F1095" s="808"/>
      <c r="G1095" s="808"/>
      <c r="H1095" s="808"/>
      <c r="I1095" s="808"/>
      <c r="J1095" s="809"/>
      <c r="K1095" s="359"/>
    </row>
  </sheetData>
  <mergeCells count="1158">
    <mergeCell ref="K18:K19"/>
    <mergeCell ref="A1:K1"/>
    <mergeCell ref="C2:K2"/>
    <mergeCell ref="E3:G3"/>
    <mergeCell ref="J3:K3"/>
    <mergeCell ref="A6:I6"/>
    <mergeCell ref="A7:E8"/>
    <mergeCell ref="G7:H7"/>
    <mergeCell ref="I7:J7"/>
    <mergeCell ref="K7:K8"/>
    <mergeCell ref="K33:K34"/>
    <mergeCell ref="G35:H35"/>
    <mergeCell ref="B26:G26"/>
    <mergeCell ref="B27:G27"/>
    <mergeCell ref="D28:J28"/>
    <mergeCell ref="D29:J29"/>
    <mergeCell ref="D30:J30"/>
    <mergeCell ref="A33:E34"/>
    <mergeCell ref="F33:F34"/>
    <mergeCell ref="G33:H34"/>
    <mergeCell ref="I33:I34"/>
    <mergeCell ref="J33:J34"/>
    <mergeCell ref="B20:G20"/>
    <mergeCell ref="B21:G21"/>
    <mergeCell ref="B22:G22"/>
    <mergeCell ref="B23:G23"/>
    <mergeCell ref="B24:G24"/>
    <mergeCell ref="B25:G25"/>
    <mergeCell ref="A17:J17"/>
    <mergeCell ref="A18:E19"/>
    <mergeCell ref="H18:H19"/>
    <mergeCell ref="I18:I19"/>
    <mergeCell ref="J18:J19"/>
    <mergeCell ref="G42:H42"/>
    <mergeCell ref="G43:H43"/>
    <mergeCell ref="G44:H44"/>
    <mergeCell ref="G45:H45"/>
    <mergeCell ref="A46:J46"/>
    <mergeCell ref="A47:E48"/>
    <mergeCell ref="F47:F48"/>
    <mergeCell ref="G47:H48"/>
    <mergeCell ref="I47:I48"/>
    <mergeCell ref="J47:J48"/>
    <mergeCell ref="A40:E41"/>
    <mergeCell ref="F40:F41"/>
    <mergeCell ref="G40:H41"/>
    <mergeCell ref="I40:I41"/>
    <mergeCell ref="J40:J41"/>
    <mergeCell ref="K40:K41"/>
    <mergeCell ref="G36:H36"/>
    <mergeCell ref="G37:H37"/>
    <mergeCell ref="G38:H38"/>
    <mergeCell ref="A39:J39"/>
    <mergeCell ref="A61:J61"/>
    <mergeCell ref="A62:J62"/>
    <mergeCell ref="A63:J63"/>
    <mergeCell ref="A66:K66"/>
    <mergeCell ref="C67:K67"/>
    <mergeCell ref="E68:G68"/>
    <mergeCell ref="J68:K68"/>
    <mergeCell ref="A54:B55"/>
    <mergeCell ref="C54:C55"/>
    <mergeCell ref="E54:G54"/>
    <mergeCell ref="H54:J54"/>
    <mergeCell ref="K54:K55"/>
    <mergeCell ref="A60:J60"/>
    <mergeCell ref="K47:K48"/>
    <mergeCell ref="G49:H49"/>
    <mergeCell ref="G50:H50"/>
    <mergeCell ref="G51:H51"/>
    <mergeCell ref="G52:H52"/>
    <mergeCell ref="A53:J53"/>
    <mergeCell ref="B86:G86"/>
    <mergeCell ref="B87:G87"/>
    <mergeCell ref="B88:G88"/>
    <mergeCell ref="B89:G89"/>
    <mergeCell ref="B90:G90"/>
    <mergeCell ref="B91:G91"/>
    <mergeCell ref="A83:E84"/>
    <mergeCell ref="H83:H84"/>
    <mergeCell ref="I83:I84"/>
    <mergeCell ref="J83:J84"/>
    <mergeCell ref="K83:K84"/>
    <mergeCell ref="B85:G85"/>
    <mergeCell ref="A71:I71"/>
    <mergeCell ref="A72:E73"/>
    <mergeCell ref="G72:H72"/>
    <mergeCell ref="I72:J72"/>
    <mergeCell ref="K72:K73"/>
    <mergeCell ref="A82:J82"/>
    <mergeCell ref="A105:E106"/>
    <mergeCell ref="F105:F106"/>
    <mergeCell ref="G105:H106"/>
    <mergeCell ref="I105:I106"/>
    <mergeCell ref="J105:J106"/>
    <mergeCell ref="K105:K106"/>
    <mergeCell ref="K98:K99"/>
    <mergeCell ref="G100:H100"/>
    <mergeCell ref="G101:H101"/>
    <mergeCell ref="G102:H102"/>
    <mergeCell ref="G103:H103"/>
    <mergeCell ref="A104:J104"/>
    <mergeCell ref="B92:G92"/>
    <mergeCell ref="D93:J93"/>
    <mergeCell ref="D94:J94"/>
    <mergeCell ref="D95:J95"/>
    <mergeCell ref="A98:E99"/>
    <mergeCell ref="F98:F99"/>
    <mergeCell ref="G98:H99"/>
    <mergeCell ref="I98:I99"/>
    <mergeCell ref="J98:J99"/>
    <mergeCell ref="A119:B120"/>
    <mergeCell ref="C119:C120"/>
    <mergeCell ref="E119:G119"/>
    <mergeCell ref="H119:J119"/>
    <mergeCell ref="K119:K120"/>
    <mergeCell ref="A125:J125"/>
    <mergeCell ref="K112:K113"/>
    <mergeCell ref="G114:H114"/>
    <mergeCell ref="G115:H115"/>
    <mergeCell ref="G116:H116"/>
    <mergeCell ref="G117:H117"/>
    <mergeCell ref="A118:J118"/>
    <mergeCell ref="G107:H107"/>
    <mergeCell ref="G108:H108"/>
    <mergeCell ref="G109:H109"/>
    <mergeCell ref="G110:H110"/>
    <mergeCell ref="A111:J111"/>
    <mergeCell ref="A112:E113"/>
    <mergeCell ref="F112:F113"/>
    <mergeCell ref="G112:H113"/>
    <mergeCell ref="I112:I113"/>
    <mergeCell ref="J112:J113"/>
    <mergeCell ref="A148:E149"/>
    <mergeCell ref="H148:H149"/>
    <mergeCell ref="I148:I149"/>
    <mergeCell ref="J148:J149"/>
    <mergeCell ref="K148:K149"/>
    <mergeCell ref="B150:G150"/>
    <mergeCell ref="A136:I136"/>
    <mergeCell ref="A137:E138"/>
    <mergeCell ref="G137:H137"/>
    <mergeCell ref="I137:J137"/>
    <mergeCell ref="K137:K138"/>
    <mergeCell ref="A147:J147"/>
    <mergeCell ref="A126:J126"/>
    <mergeCell ref="A127:J127"/>
    <mergeCell ref="A128:J128"/>
    <mergeCell ref="A131:K131"/>
    <mergeCell ref="C132:K132"/>
    <mergeCell ref="E133:G133"/>
    <mergeCell ref="J133:K133"/>
    <mergeCell ref="K163:K164"/>
    <mergeCell ref="G165:H165"/>
    <mergeCell ref="G166:H166"/>
    <mergeCell ref="G167:H167"/>
    <mergeCell ref="G168:H168"/>
    <mergeCell ref="A169:J169"/>
    <mergeCell ref="B157:G157"/>
    <mergeCell ref="D158:J158"/>
    <mergeCell ref="D159:J159"/>
    <mergeCell ref="D160:J160"/>
    <mergeCell ref="A163:E164"/>
    <mergeCell ref="F163:F164"/>
    <mergeCell ref="G163:H164"/>
    <mergeCell ref="I163:I164"/>
    <mergeCell ref="J163:J164"/>
    <mergeCell ref="B151:G151"/>
    <mergeCell ref="B152:G152"/>
    <mergeCell ref="B153:G153"/>
    <mergeCell ref="B154:G154"/>
    <mergeCell ref="B155:G155"/>
    <mergeCell ref="B156:G156"/>
    <mergeCell ref="K177:K178"/>
    <mergeCell ref="G179:H179"/>
    <mergeCell ref="G180:H180"/>
    <mergeCell ref="G181:H181"/>
    <mergeCell ref="G182:H182"/>
    <mergeCell ref="A183:J183"/>
    <mergeCell ref="G172:H172"/>
    <mergeCell ref="G173:H173"/>
    <mergeCell ref="G174:H174"/>
    <mergeCell ref="G175:H175"/>
    <mergeCell ref="A176:J176"/>
    <mergeCell ref="A177:E178"/>
    <mergeCell ref="F177:F178"/>
    <mergeCell ref="G177:H178"/>
    <mergeCell ref="I177:I178"/>
    <mergeCell ref="J177:J178"/>
    <mergeCell ref="A170:E171"/>
    <mergeCell ref="F170:F171"/>
    <mergeCell ref="G170:H171"/>
    <mergeCell ref="I170:I171"/>
    <mergeCell ref="J170:J171"/>
    <mergeCell ref="K170:K171"/>
    <mergeCell ref="K213:K214"/>
    <mergeCell ref="B215:G215"/>
    <mergeCell ref="A201:I201"/>
    <mergeCell ref="A202:E203"/>
    <mergeCell ref="G202:H202"/>
    <mergeCell ref="I202:J202"/>
    <mergeCell ref="K202:K203"/>
    <mergeCell ref="A212:J212"/>
    <mergeCell ref="A191:J191"/>
    <mergeCell ref="A192:J192"/>
    <mergeCell ref="A193:J193"/>
    <mergeCell ref="A196:K196"/>
    <mergeCell ref="C197:K197"/>
    <mergeCell ref="E198:G198"/>
    <mergeCell ref="J198:K198"/>
    <mergeCell ref="A184:B185"/>
    <mergeCell ref="C184:C185"/>
    <mergeCell ref="E184:G184"/>
    <mergeCell ref="H184:J184"/>
    <mergeCell ref="K184:K185"/>
    <mergeCell ref="A190:J190"/>
    <mergeCell ref="B222:G222"/>
    <mergeCell ref="D223:J223"/>
    <mergeCell ref="D224:J224"/>
    <mergeCell ref="D225:J225"/>
    <mergeCell ref="A228:E229"/>
    <mergeCell ref="F228:F229"/>
    <mergeCell ref="G228:H229"/>
    <mergeCell ref="I228:I229"/>
    <mergeCell ref="J228:J229"/>
    <mergeCell ref="B216:G216"/>
    <mergeCell ref="B217:G217"/>
    <mergeCell ref="B218:G218"/>
    <mergeCell ref="B219:G219"/>
    <mergeCell ref="B220:G220"/>
    <mergeCell ref="B221:G221"/>
    <mergeCell ref="A213:E214"/>
    <mergeCell ref="H213:H214"/>
    <mergeCell ref="I213:I214"/>
    <mergeCell ref="J213:J214"/>
    <mergeCell ref="G237:H237"/>
    <mergeCell ref="G238:H238"/>
    <mergeCell ref="G239:H239"/>
    <mergeCell ref="G240:H240"/>
    <mergeCell ref="A241:J241"/>
    <mergeCell ref="A242:E243"/>
    <mergeCell ref="F242:F243"/>
    <mergeCell ref="G242:H243"/>
    <mergeCell ref="I242:I243"/>
    <mergeCell ref="J242:J243"/>
    <mergeCell ref="A235:E236"/>
    <mergeCell ref="F235:F236"/>
    <mergeCell ref="G235:H236"/>
    <mergeCell ref="I235:I236"/>
    <mergeCell ref="J235:J236"/>
    <mergeCell ref="K235:K236"/>
    <mergeCell ref="K228:K229"/>
    <mergeCell ref="G230:H230"/>
    <mergeCell ref="G231:H231"/>
    <mergeCell ref="G232:H232"/>
    <mergeCell ref="G233:H233"/>
    <mergeCell ref="A234:J234"/>
    <mergeCell ref="A256:J256"/>
    <mergeCell ref="A257:J257"/>
    <mergeCell ref="A258:J258"/>
    <mergeCell ref="A261:K261"/>
    <mergeCell ref="C262:K262"/>
    <mergeCell ref="E263:G263"/>
    <mergeCell ref="J263:K263"/>
    <mergeCell ref="A249:B250"/>
    <mergeCell ref="C249:C250"/>
    <mergeCell ref="E249:G249"/>
    <mergeCell ref="H249:J249"/>
    <mergeCell ref="K249:K250"/>
    <mergeCell ref="A255:J255"/>
    <mergeCell ref="K242:K243"/>
    <mergeCell ref="G244:H244"/>
    <mergeCell ref="G245:H245"/>
    <mergeCell ref="G246:H246"/>
    <mergeCell ref="G247:H247"/>
    <mergeCell ref="A248:J248"/>
    <mergeCell ref="B281:G281"/>
    <mergeCell ref="B282:G282"/>
    <mergeCell ref="B283:G283"/>
    <mergeCell ref="B284:G284"/>
    <mergeCell ref="B285:G285"/>
    <mergeCell ref="B286:G286"/>
    <mergeCell ref="A278:E279"/>
    <mergeCell ref="H278:H279"/>
    <mergeCell ref="I278:I279"/>
    <mergeCell ref="J278:J279"/>
    <mergeCell ref="K278:K279"/>
    <mergeCell ref="B280:G280"/>
    <mergeCell ref="A266:I266"/>
    <mergeCell ref="A267:E268"/>
    <mergeCell ref="G267:H267"/>
    <mergeCell ref="I267:J267"/>
    <mergeCell ref="K267:K268"/>
    <mergeCell ref="A277:J277"/>
    <mergeCell ref="A298:E299"/>
    <mergeCell ref="F298:F299"/>
    <mergeCell ref="G298:H299"/>
    <mergeCell ref="I298:I299"/>
    <mergeCell ref="J298:J299"/>
    <mergeCell ref="K298:K299"/>
    <mergeCell ref="K291:K292"/>
    <mergeCell ref="G293:H293"/>
    <mergeCell ref="G294:H294"/>
    <mergeCell ref="G295:H295"/>
    <mergeCell ref="G296:H296"/>
    <mergeCell ref="A297:J297"/>
    <mergeCell ref="B287:G287"/>
    <mergeCell ref="D288:J288"/>
    <mergeCell ref="D289:J289"/>
    <mergeCell ref="D290:J290"/>
    <mergeCell ref="A291:E292"/>
    <mergeCell ref="F291:F292"/>
    <mergeCell ref="G291:H292"/>
    <mergeCell ref="I291:I292"/>
    <mergeCell ref="J291:J292"/>
    <mergeCell ref="A319:J319"/>
    <mergeCell ref="A320:J320"/>
    <mergeCell ref="A321:J321"/>
    <mergeCell ref="A312:B313"/>
    <mergeCell ref="C312:C313"/>
    <mergeCell ref="E312:G312"/>
    <mergeCell ref="H312:J312"/>
    <mergeCell ref="K312:K313"/>
    <mergeCell ref="A318:J318"/>
    <mergeCell ref="K305:K306"/>
    <mergeCell ref="G307:H307"/>
    <mergeCell ref="G308:H308"/>
    <mergeCell ref="G309:H309"/>
    <mergeCell ref="G310:H310"/>
    <mergeCell ref="A311:J311"/>
    <mergeCell ref="G300:H300"/>
    <mergeCell ref="G301:H301"/>
    <mergeCell ref="G302:H302"/>
    <mergeCell ref="G303:H303"/>
    <mergeCell ref="A304:J304"/>
    <mergeCell ref="A305:E306"/>
    <mergeCell ref="F305:F306"/>
    <mergeCell ref="G305:H306"/>
    <mergeCell ref="I305:I306"/>
    <mergeCell ref="J305:J306"/>
    <mergeCell ref="B344:G344"/>
    <mergeCell ref="B345:G345"/>
    <mergeCell ref="B346:G346"/>
    <mergeCell ref="B347:G347"/>
    <mergeCell ref="B348:G348"/>
    <mergeCell ref="B349:G349"/>
    <mergeCell ref="A341:E342"/>
    <mergeCell ref="H341:H342"/>
    <mergeCell ref="I341:I342"/>
    <mergeCell ref="J341:J342"/>
    <mergeCell ref="K341:K342"/>
    <mergeCell ref="B343:G343"/>
    <mergeCell ref="A329:I329"/>
    <mergeCell ref="A330:E331"/>
    <mergeCell ref="G330:H330"/>
    <mergeCell ref="I330:J330"/>
    <mergeCell ref="K330:K331"/>
    <mergeCell ref="A340:J340"/>
    <mergeCell ref="A361:E362"/>
    <mergeCell ref="F361:F362"/>
    <mergeCell ref="G361:H362"/>
    <mergeCell ref="I361:I362"/>
    <mergeCell ref="J361:J362"/>
    <mergeCell ref="K361:K362"/>
    <mergeCell ref="K354:K355"/>
    <mergeCell ref="G356:H356"/>
    <mergeCell ref="G357:H357"/>
    <mergeCell ref="G358:H358"/>
    <mergeCell ref="G359:H359"/>
    <mergeCell ref="A360:J360"/>
    <mergeCell ref="B350:G350"/>
    <mergeCell ref="D351:J351"/>
    <mergeCell ref="D352:J352"/>
    <mergeCell ref="D353:J353"/>
    <mergeCell ref="A354:E355"/>
    <mergeCell ref="F354:F355"/>
    <mergeCell ref="G354:H355"/>
    <mergeCell ref="I354:I355"/>
    <mergeCell ref="J354:J355"/>
    <mergeCell ref="A382:J382"/>
    <mergeCell ref="A383:J383"/>
    <mergeCell ref="A384:J384"/>
    <mergeCell ref="A375:B376"/>
    <mergeCell ref="C375:C376"/>
    <mergeCell ref="E375:G375"/>
    <mergeCell ref="H375:J375"/>
    <mergeCell ref="K375:K376"/>
    <mergeCell ref="A381:J381"/>
    <mergeCell ref="K368:K369"/>
    <mergeCell ref="G370:H370"/>
    <mergeCell ref="G371:H371"/>
    <mergeCell ref="G372:H372"/>
    <mergeCell ref="G373:H373"/>
    <mergeCell ref="A374:J374"/>
    <mergeCell ref="G363:H363"/>
    <mergeCell ref="G364:H364"/>
    <mergeCell ref="G365:H365"/>
    <mergeCell ref="G366:H366"/>
    <mergeCell ref="A367:J367"/>
    <mergeCell ref="A368:E369"/>
    <mergeCell ref="F368:F369"/>
    <mergeCell ref="G368:H369"/>
    <mergeCell ref="I368:I369"/>
    <mergeCell ref="J368:J369"/>
    <mergeCell ref="B407:G407"/>
    <mergeCell ref="B408:G408"/>
    <mergeCell ref="B409:G409"/>
    <mergeCell ref="B410:G410"/>
    <mergeCell ref="B411:G411"/>
    <mergeCell ref="B412:G412"/>
    <mergeCell ref="A404:E405"/>
    <mergeCell ref="H404:H405"/>
    <mergeCell ref="I404:I405"/>
    <mergeCell ref="J404:J405"/>
    <mergeCell ref="K404:K405"/>
    <mergeCell ref="B406:G406"/>
    <mergeCell ref="A392:I392"/>
    <mergeCell ref="A393:E394"/>
    <mergeCell ref="G393:H393"/>
    <mergeCell ref="I393:J393"/>
    <mergeCell ref="K393:K394"/>
    <mergeCell ref="A403:J403"/>
    <mergeCell ref="A424:E425"/>
    <mergeCell ref="F424:F425"/>
    <mergeCell ref="G424:H425"/>
    <mergeCell ref="I424:I425"/>
    <mergeCell ref="J424:J425"/>
    <mergeCell ref="K424:K425"/>
    <mergeCell ref="K417:K418"/>
    <mergeCell ref="G419:H419"/>
    <mergeCell ref="G420:H420"/>
    <mergeCell ref="G421:H421"/>
    <mergeCell ref="G422:H422"/>
    <mergeCell ref="A423:J423"/>
    <mergeCell ref="B413:G413"/>
    <mergeCell ref="D414:J414"/>
    <mergeCell ref="D415:J415"/>
    <mergeCell ref="D416:J416"/>
    <mergeCell ref="A417:E418"/>
    <mergeCell ref="F417:F418"/>
    <mergeCell ref="G417:H418"/>
    <mergeCell ref="I417:I418"/>
    <mergeCell ref="J417:J418"/>
    <mergeCell ref="A450:K450"/>
    <mergeCell ref="C451:K451"/>
    <mergeCell ref="E452:G452"/>
    <mergeCell ref="J452:K452"/>
    <mergeCell ref="K431:K432"/>
    <mergeCell ref="G433:H433"/>
    <mergeCell ref="G434:H434"/>
    <mergeCell ref="G435:H435"/>
    <mergeCell ref="G436:H436"/>
    <mergeCell ref="A437:J437"/>
    <mergeCell ref="G426:H426"/>
    <mergeCell ref="G427:H427"/>
    <mergeCell ref="G428:H428"/>
    <mergeCell ref="G429:H429"/>
    <mergeCell ref="A430:J430"/>
    <mergeCell ref="A431:E432"/>
    <mergeCell ref="F431:F432"/>
    <mergeCell ref="G431:H432"/>
    <mergeCell ref="I431:I432"/>
    <mergeCell ref="J431:J432"/>
    <mergeCell ref="B470:G470"/>
    <mergeCell ref="B471:G471"/>
    <mergeCell ref="B472:G472"/>
    <mergeCell ref="B473:G473"/>
    <mergeCell ref="B474:G474"/>
    <mergeCell ref="B475:G475"/>
    <mergeCell ref="A467:E468"/>
    <mergeCell ref="H467:H468"/>
    <mergeCell ref="I467:I468"/>
    <mergeCell ref="J467:J468"/>
    <mergeCell ref="K467:K468"/>
    <mergeCell ref="B469:G469"/>
    <mergeCell ref="A455:I455"/>
    <mergeCell ref="A456:E457"/>
    <mergeCell ref="G456:H456"/>
    <mergeCell ref="I456:J456"/>
    <mergeCell ref="K456:K457"/>
    <mergeCell ref="A466:J466"/>
    <mergeCell ref="A487:E488"/>
    <mergeCell ref="F487:F488"/>
    <mergeCell ref="G487:H488"/>
    <mergeCell ref="I487:I488"/>
    <mergeCell ref="J487:J488"/>
    <mergeCell ref="K487:K488"/>
    <mergeCell ref="K480:K481"/>
    <mergeCell ref="G482:H482"/>
    <mergeCell ref="G483:H483"/>
    <mergeCell ref="G484:H484"/>
    <mergeCell ref="G485:H485"/>
    <mergeCell ref="A486:J486"/>
    <mergeCell ref="B476:G476"/>
    <mergeCell ref="D477:J477"/>
    <mergeCell ref="D478:J478"/>
    <mergeCell ref="D479:J479"/>
    <mergeCell ref="A480:E481"/>
    <mergeCell ref="F480:F481"/>
    <mergeCell ref="G480:H481"/>
    <mergeCell ref="I480:I481"/>
    <mergeCell ref="J480:J481"/>
    <mergeCell ref="A508:J508"/>
    <mergeCell ref="A509:J509"/>
    <mergeCell ref="A510:J510"/>
    <mergeCell ref="A501:B502"/>
    <mergeCell ref="C501:C502"/>
    <mergeCell ref="E501:G501"/>
    <mergeCell ref="H501:J501"/>
    <mergeCell ref="K501:K502"/>
    <mergeCell ref="A507:J507"/>
    <mergeCell ref="K494:K495"/>
    <mergeCell ref="G496:H496"/>
    <mergeCell ref="G497:H497"/>
    <mergeCell ref="G498:H498"/>
    <mergeCell ref="G499:H499"/>
    <mergeCell ref="A500:J500"/>
    <mergeCell ref="G489:H489"/>
    <mergeCell ref="G490:H490"/>
    <mergeCell ref="G491:H491"/>
    <mergeCell ref="G492:H492"/>
    <mergeCell ref="A493:J493"/>
    <mergeCell ref="A494:E495"/>
    <mergeCell ref="F494:F495"/>
    <mergeCell ref="G494:H495"/>
    <mergeCell ref="I494:I495"/>
    <mergeCell ref="J494:J495"/>
    <mergeCell ref="B533:G533"/>
    <mergeCell ref="B534:G534"/>
    <mergeCell ref="B535:G535"/>
    <mergeCell ref="B536:G536"/>
    <mergeCell ref="B537:G537"/>
    <mergeCell ref="B538:G538"/>
    <mergeCell ref="A530:E531"/>
    <mergeCell ref="H530:H531"/>
    <mergeCell ref="I530:I531"/>
    <mergeCell ref="J530:J531"/>
    <mergeCell ref="K530:K531"/>
    <mergeCell ref="B532:G532"/>
    <mergeCell ref="A518:I518"/>
    <mergeCell ref="A519:E520"/>
    <mergeCell ref="G519:H519"/>
    <mergeCell ref="I519:J519"/>
    <mergeCell ref="K519:K520"/>
    <mergeCell ref="A529:J529"/>
    <mergeCell ref="A550:E551"/>
    <mergeCell ref="F550:F551"/>
    <mergeCell ref="G550:H551"/>
    <mergeCell ref="I550:I551"/>
    <mergeCell ref="J550:J551"/>
    <mergeCell ref="K550:K551"/>
    <mergeCell ref="K543:K544"/>
    <mergeCell ref="G545:H545"/>
    <mergeCell ref="G546:H546"/>
    <mergeCell ref="G547:H547"/>
    <mergeCell ref="G548:H548"/>
    <mergeCell ref="A549:J549"/>
    <mergeCell ref="B539:G539"/>
    <mergeCell ref="D540:J540"/>
    <mergeCell ref="D541:J541"/>
    <mergeCell ref="D542:J542"/>
    <mergeCell ref="A543:E544"/>
    <mergeCell ref="F543:F544"/>
    <mergeCell ref="G543:H544"/>
    <mergeCell ref="I543:I544"/>
    <mergeCell ref="J543:J544"/>
    <mergeCell ref="A576:K576"/>
    <mergeCell ref="C577:K577"/>
    <mergeCell ref="E578:G578"/>
    <mergeCell ref="J578:K578"/>
    <mergeCell ref="A564:B565"/>
    <mergeCell ref="C564:C565"/>
    <mergeCell ref="E564:G564"/>
    <mergeCell ref="H564:J564"/>
    <mergeCell ref="K564:K565"/>
    <mergeCell ref="A570:J570"/>
    <mergeCell ref="K557:K558"/>
    <mergeCell ref="G559:H559"/>
    <mergeCell ref="G560:H560"/>
    <mergeCell ref="G561:H561"/>
    <mergeCell ref="G562:H562"/>
    <mergeCell ref="A563:J563"/>
    <mergeCell ref="G552:H552"/>
    <mergeCell ref="G553:H553"/>
    <mergeCell ref="G554:H554"/>
    <mergeCell ref="G555:H555"/>
    <mergeCell ref="A556:J556"/>
    <mergeCell ref="A557:E558"/>
    <mergeCell ref="F557:F558"/>
    <mergeCell ref="G557:H558"/>
    <mergeCell ref="I557:I558"/>
    <mergeCell ref="J557:J558"/>
    <mergeCell ref="B596:G596"/>
    <mergeCell ref="B597:G597"/>
    <mergeCell ref="B598:G598"/>
    <mergeCell ref="B599:G599"/>
    <mergeCell ref="B600:G600"/>
    <mergeCell ref="B601:G601"/>
    <mergeCell ref="A593:E594"/>
    <mergeCell ref="H593:H594"/>
    <mergeCell ref="I593:I594"/>
    <mergeCell ref="J593:J594"/>
    <mergeCell ref="K593:K594"/>
    <mergeCell ref="B595:G595"/>
    <mergeCell ref="A581:I581"/>
    <mergeCell ref="A582:E583"/>
    <mergeCell ref="G582:H582"/>
    <mergeCell ref="I582:J582"/>
    <mergeCell ref="K582:K583"/>
    <mergeCell ref="A592:J592"/>
    <mergeCell ref="A613:E614"/>
    <mergeCell ref="F613:F614"/>
    <mergeCell ref="G613:H614"/>
    <mergeCell ref="I613:I614"/>
    <mergeCell ref="J613:J614"/>
    <mergeCell ref="K613:K614"/>
    <mergeCell ref="K606:K607"/>
    <mergeCell ref="G608:H608"/>
    <mergeCell ref="G609:H609"/>
    <mergeCell ref="G610:H610"/>
    <mergeCell ref="G611:H611"/>
    <mergeCell ref="A612:J612"/>
    <mergeCell ref="B602:G602"/>
    <mergeCell ref="D603:J603"/>
    <mergeCell ref="D604:J604"/>
    <mergeCell ref="D605:J605"/>
    <mergeCell ref="A606:E607"/>
    <mergeCell ref="F606:F607"/>
    <mergeCell ref="G606:H607"/>
    <mergeCell ref="I606:I607"/>
    <mergeCell ref="J606:J607"/>
    <mergeCell ref="A627:B628"/>
    <mergeCell ref="C627:C628"/>
    <mergeCell ref="E627:G627"/>
    <mergeCell ref="H627:J627"/>
    <mergeCell ref="K627:K628"/>
    <mergeCell ref="A633:J633"/>
    <mergeCell ref="K620:K621"/>
    <mergeCell ref="G622:H622"/>
    <mergeCell ref="G623:H623"/>
    <mergeCell ref="G624:H624"/>
    <mergeCell ref="G625:H625"/>
    <mergeCell ref="A626:J626"/>
    <mergeCell ref="G615:H615"/>
    <mergeCell ref="G616:H616"/>
    <mergeCell ref="G617:H617"/>
    <mergeCell ref="G618:H618"/>
    <mergeCell ref="A619:J619"/>
    <mergeCell ref="A620:E621"/>
    <mergeCell ref="F620:F621"/>
    <mergeCell ref="G620:H621"/>
    <mergeCell ref="I620:I621"/>
    <mergeCell ref="J620:J621"/>
    <mergeCell ref="A656:E657"/>
    <mergeCell ref="H656:H657"/>
    <mergeCell ref="I656:I657"/>
    <mergeCell ref="J656:J657"/>
    <mergeCell ref="K656:K657"/>
    <mergeCell ref="B658:G658"/>
    <mergeCell ref="A644:I644"/>
    <mergeCell ref="A645:E646"/>
    <mergeCell ref="G645:H645"/>
    <mergeCell ref="I645:J645"/>
    <mergeCell ref="K645:K646"/>
    <mergeCell ref="A655:J655"/>
    <mergeCell ref="A634:J634"/>
    <mergeCell ref="A635:J635"/>
    <mergeCell ref="A636:J636"/>
    <mergeCell ref="A639:K639"/>
    <mergeCell ref="C640:K640"/>
    <mergeCell ref="E641:G641"/>
    <mergeCell ref="J641:K641"/>
    <mergeCell ref="K671:K672"/>
    <mergeCell ref="G673:H673"/>
    <mergeCell ref="G674:H674"/>
    <mergeCell ref="G675:H675"/>
    <mergeCell ref="G676:H676"/>
    <mergeCell ref="A677:J677"/>
    <mergeCell ref="B665:G665"/>
    <mergeCell ref="D666:J666"/>
    <mergeCell ref="D667:J667"/>
    <mergeCell ref="D668:J668"/>
    <mergeCell ref="A671:E672"/>
    <mergeCell ref="F671:F672"/>
    <mergeCell ref="G671:H672"/>
    <mergeCell ref="I671:I672"/>
    <mergeCell ref="J671:J672"/>
    <mergeCell ref="B659:G659"/>
    <mergeCell ref="B660:G660"/>
    <mergeCell ref="B661:G661"/>
    <mergeCell ref="B662:G662"/>
    <mergeCell ref="B663:G663"/>
    <mergeCell ref="B664:G664"/>
    <mergeCell ref="K685:K686"/>
    <mergeCell ref="G687:H687"/>
    <mergeCell ref="G688:H688"/>
    <mergeCell ref="G689:H689"/>
    <mergeCell ref="G690:H690"/>
    <mergeCell ref="A691:J691"/>
    <mergeCell ref="G680:H680"/>
    <mergeCell ref="G681:H681"/>
    <mergeCell ref="G682:H682"/>
    <mergeCell ref="G683:H683"/>
    <mergeCell ref="A684:J684"/>
    <mergeCell ref="A685:E686"/>
    <mergeCell ref="F685:F686"/>
    <mergeCell ref="G685:H686"/>
    <mergeCell ref="I685:I686"/>
    <mergeCell ref="J685:J686"/>
    <mergeCell ref="A678:E679"/>
    <mergeCell ref="F678:F679"/>
    <mergeCell ref="G678:H679"/>
    <mergeCell ref="I678:I679"/>
    <mergeCell ref="J678:J679"/>
    <mergeCell ref="K678:K679"/>
    <mergeCell ref="A721:E722"/>
    <mergeCell ref="H721:H722"/>
    <mergeCell ref="I721:I722"/>
    <mergeCell ref="J721:J722"/>
    <mergeCell ref="K721:K722"/>
    <mergeCell ref="B723:G723"/>
    <mergeCell ref="A709:I709"/>
    <mergeCell ref="A710:E711"/>
    <mergeCell ref="G710:H710"/>
    <mergeCell ref="I710:J710"/>
    <mergeCell ref="K710:K711"/>
    <mergeCell ref="A720:J720"/>
    <mergeCell ref="A699:J699"/>
    <mergeCell ref="A700:J700"/>
    <mergeCell ref="A701:J701"/>
    <mergeCell ref="A692:B693"/>
    <mergeCell ref="C692:C693"/>
    <mergeCell ref="E692:G692"/>
    <mergeCell ref="H692:J692"/>
    <mergeCell ref="K692:K693"/>
    <mergeCell ref="A698:J698"/>
    <mergeCell ref="K736:K737"/>
    <mergeCell ref="G738:H738"/>
    <mergeCell ref="G739:H739"/>
    <mergeCell ref="G740:H740"/>
    <mergeCell ref="G741:H741"/>
    <mergeCell ref="A742:J742"/>
    <mergeCell ref="B730:G730"/>
    <mergeCell ref="D731:J731"/>
    <mergeCell ref="D732:J732"/>
    <mergeCell ref="D733:J733"/>
    <mergeCell ref="A736:E737"/>
    <mergeCell ref="F736:F737"/>
    <mergeCell ref="G736:H737"/>
    <mergeCell ref="I736:I737"/>
    <mergeCell ref="J736:J737"/>
    <mergeCell ref="B724:G724"/>
    <mergeCell ref="B725:G725"/>
    <mergeCell ref="B726:G726"/>
    <mergeCell ref="B727:G727"/>
    <mergeCell ref="B728:G728"/>
    <mergeCell ref="B729:G729"/>
    <mergeCell ref="A756:J756"/>
    <mergeCell ref="G745:H745"/>
    <mergeCell ref="G746:H746"/>
    <mergeCell ref="G747:H747"/>
    <mergeCell ref="G748:H748"/>
    <mergeCell ref="A749:J749"/>
    <mergeCell ref="A750:E751"/>
    <mergeCell ref="F750:F751"/>
    <mergeCell ref="G750:H751"/>
    <mergeCell ref="I750:I751"/>
    <mergeCell ref="J750:J751"/>
    <mergeCell ref="A743:E744"/>
    <mergeCell ref="F743:F744"/>
    <mergeCell ref="G743:H744"/>
    <mergeCell ref="I743:I744"/>
    <mergeCell ref="J743:J744"/>
    <mergeCell ref="K743:K744"/>
    <mergeCell ref="A786:E787"/>
    <mergeCell ref="H786:H787"/>
    <mergeCell ref="I786:I787"/>
    <mergeCell ref="J786:J787"/>
    <mergeCell ref="K786:K787"/>
    <mergeCell ref="B788:G788"/>
    <mergeCell ref="A774:I774"/>
    <mergeCell ref="A775:E776"/>
    <mergeCell ref="G775:H775"/>
    <mergeCell ref="I775:J775"/>
    <mergeCell ref="K775:K776"/>
    <mergeCell ref="A785:J785"/>
    <mergeCell ref="A769:K769"/>
    <mergeCell ref="C770:K770"/>
    <mergeCell ref="E771:G771"/>
    <mergeCell ref="J771:K771"/>
    <mergeCell ref="A757:B758"/>
    <mergeCell ref="C757:C758"/>
    <mergeCell ref="E757:G757"/>
    <mergeCell ref="H757:J757"/>
    <mergeCell ref="K757:K758"/>
    <mergeCell ref="A763:J763"/>
    <mergeCell ref="K801:K802"/>
    <mergeCell ref="G803:H803"/>
    <mergeCell ref="G804:H804"/>
    <mergeCell ref="G805:H805"/>
    <mergeCell ref="G806:H806"/>
    <mergeCell ref="A807:J807"/>
    <mergeCell ref="B795:G795"/>
    <mergeCell ref="D796:J796"/>
    <mergeCell ref="D797:J797"/>
    <mergeCell ref="D798:J798"/>
    <mergeCell ref="A801:E802"/>
    <mergeCell ref="F801:F802"/>
    <mergeCell ref="G801:H802"/>
    <mergeCell ref="I801:I802"/>
    <mergeCell ref="J801:J802"/>
    <mergeCell ref="B789:G789"/>
    <mergeCell ref="B790:G790"/>
    <mergeCell ref="B791:G791"/>
    <mergeCell ref="B792:G792"/>
    <mergeCell ref="B793:G793"/>
    <mergeCell ref="B794:G794"/>
    <mergeCell ref="K815:K816"/>
    <mergeCell ref="G817:H817"/>
    <mergeCell ref="G818:H818"/>
    <mergeCell ref="G819:H819"/>
    <mergeCell ref="G820:H820"/>
    <mergeCell ref="A821:J821"/>
    <mergeCell ref="G810:H810"/>
    <mergeCell ref="G811:H811"/>
    <mergeCell ref="G812:H812"/>
    <mergeCell ref="G813:H813"/>
    <mergeCell ref="A814:J814"/>
    <mergeCell ref="A815:E816"/>
    <mergeCell ref="F815:F816"/>
    <mergeCell ref="G815:H816"/>
    <mergeCell ref="I815:I816"/>
    <mergeCell ref="J815:J816"/>
    <mergeCell ref="A808:E809"/>
    <mergeCell ref="F808:F809"/>
    <mergeCell ref="G808:H809"/>
    <mergeCell ref="I808:I809"/>
    <mergeCell ref="J808:J809"/>
    <mergeCell ref="K808:K809"/>
    <mergeCell ref="K851:K852"/>
    <mergeCell ref="B853:G853"/>
    <mergeCell ref="A839:I839"/>
    <mergeCell ref="A840:E841"/>
    <mergeCell ref="G840:H840"/>
    <mergeCell ref="I840:J840"/>
    <mergeCell ref="K840:K841"/>
    <mergeCell ref="A850:J850"/>
    <mergeCell ref="A829:J829"/>
    <mergeCell ref="A830:J830"/>
    <mergeCell ref="A831:J831"/>
    <mergeCell ref="A834:K834"/>
    <mergeCell ref="C835:K835"/>
    <mergeCell ref="E836:G836"/>
    <mergeCell ref="J836:K836"/>
    <mergeCell ref="A822:B823"/>
    <mergeCell ref="C822:C823"/>
    <mergeCell ref="E822:G822"/>
    <mergeCell ref="H822:J822"/>
    <mergeCell ref="K822:K823"/>
    <mergeCell ref="A828:J828"/>
    <mergeCell ref="B860:G860"/>
    <mergeCell ref="D861:J861"/>
    <mergeCell ref="D862:J862"/>
    <mergeCell ref="D863:J863"/>
    <mergeCell ref="A864:E865"/>
    <mergeCell ref="F864:F865"/>
    <mergeCell ref="G864:H865"/>
    <mergeCell ref="I864:I865"/>
    <mergeCell ref="J864:J865"/>
    <mergeCell ref="B854:G854"/>
    <mergeCell ref="B855:G855"/>
    <mergeCell ref="B856:G856"/>
    <mergeCell ref="B857:G857"/>
    <mergeCell ref="B858:G858"/>
    <mergeCell ref="B859:G859"/>
    <mergeCell ref="A851:E852"/>
    <mergeCell ref="H851:H852"/>
    <mergeCell ref="I851:I852"/>
    <mergeCell ref="J851:J852"/>
    <mergeCell ref="G873:H873"/>
    <mergeCell ref="G874:H874"/>
    <mergeCell ref="G875:H875"/>
    <mergeCell ref="G876:H876"/>
    <mergeCell ref="A877:J877"/>
    <mergeCell ref="A878:E879"/>
    <mergeCell ref="F878:F879"/>
    <mergeCell ref="G878:H879"/>
    <mergeCell ref="I878:I879"/>
    <mergeCell ref="J878:J879"/>
    <mergeCell ref="A871:E872"/>
    <mergeCell ref="F871:F872"/>
    <mergeCell ref="G871:H872"/>
    <mergeCell ref="I871:I872"/>
    <mergeCell ref="J871:J872"/>
    <mergeCell ref="K871:K872"/>
    <mergeCell ref="K864:K865"/>
    <mergeCell ref="G866:H866"/>
    <mergeCell ref="G867:H867"/>
    <mergeCell ref="G868:H868"/>
    <mergeCell ref="G869:H869"/>
    <mergeCell ref="A870:J870"/>
    <mergeCell ref="A892:J892"/>
    <mergeCell ref="A893:J893"/>
    <mergeCell ref="A894:J894"/>
    <mergeCell ref="A897:K897"/>
    <mergeCell ref="C898:K898"/>
    <mergeCell ref="E899:G899"/>
    <mergeCell ref="J899:K899"/>
    <mergeCell ref="A885:B886"/>
    <mergeCell ref="C885:C886"/>
    <mergeCell ref="E885:G885"/>
    <mergeCell ref="H885:J885"/>
    <mergeCell ref="K885:K886"/>
    <mergeCell ref="A891:J891"/>
    <mergeCell ref="K878:K879"/>
    <mergeCell ref="G880:H880"/>
    <mergeCell ref="G881:H881"/>
    <mergeCell ref="G882:H882"/>
    <mergeCell ref="G883:H883"/>
    <mergeCell ref="A884:J884"/>
    <mergeCell ref="B917:G917"/>
    <mergeCell ref="B918:G918"/>
    <mergeCell ref="B919:G919"/>
    <mergeCell ref="B920:G920"/>
    <mergeCell ref="B921:G921"/>
    <mergeCell ref="B922:G922"/>
    <mergeCell ref="A914:E915"/>
    <mergeCell ref="H914:H915"/>
    <mergeCell ref="I914:I915"/>
    <mergeCell ref="J914:J915"/>
    <mergeCell ref="K914:K915"/>
    <mergeCell ref="B916:G916"/>
    <mergeCell ref="A902:I902"/>
    <mergeCell ref="A903:E904"/>
    <mergeCell ref="G903:H903"/>
    <mergeCell ref="I903:J903"/>
    <mergeCell ref="K903:K904"/>
    <mergeCell ref="A913:J913"/>
    <mergeCell ref="A934:E935"/>
    <mergeCell ref="F934:F935"/>
    <mergeCell ref="G934:H935"/>
    <mergeCell ref="I934:I935"/>
    <mergeCell ref="J934:J935"/>
    <mergeCell ref="K934:K935"/>
    <mergeCell ref="K927:K928"/>
    <mergeCell ref="G929:H929"/>
    <mergeCell ref="G930:H930"/>
    <mergeCell ref="G931:H931"/>
    <mergeCell ref="G932:H932"/>
    <mergeCell ref="A933:J933"/>
    <mergeCell ref="B923:G923"/>
    <mergeCell ref="D924:J924"/>
    <mergeCell ref="D925:J925"/>
    <mergeCell ref="D926:J926"/>
    <mergeCell ref="A927:E928"/>
    <mergeCell ref="F927:F928"/>
    <mergeCell ref="G927:H928"/>
    <mergeCell ref="I927:I928"/>
    <mergeCell ref="J927:J928"/>
    <mergeCell ref="A948:B949"/>
    <mergeCell ref="C948:C949"/>
    <mergeCell ref="E948:G948"/>
    <mergeCell ref="H948:J948"/>
    <mergeCell ref="K948:K949"/>
    <mergeCell ref="A954:J954"/>
    <mergeCell ref="K941:K942"/>
    <mergeCell ref="G943:H943"/>
    <mergeCell ref="G944:H944"/>
    <mergeCell ref="G945:H945"/>
    <mergeCell ref="G946:H946"/>
    <mergeCell ref="A947:J947"/>
    <mergeCell ref="G936:H936"/>
    <mergeCell ref="G937:H937"/>
    <mergeCell ref="G938:H938"/>
    <mergeCell ref="G939:H939"/>
    <mergeCell ref="A940:J940"/>
    <mergeCell ref="A941:E942"/>
    <mergeCell ref="F941:F942"/>
    <mergeCell ref="G941:H942"/>
    <mergeCell ref="I941:I942"/>
    <mergeCell ref="J941:J942"/>
    <mergeCell ref="A977:E978"/>
    <mergeCell ref="H977:H978"/>
    <mergeCell ref="I977:I978"/>
    <mergeCell ref="J977:J978"/>
    <mergeCell ref="K977:K978"/>
    <mergeCell ref="B979:G979"/>
    <mergeCell ref="A965:I965"/>
    <mergeCell ref="A966:E967"/>
    <mergeCell ref="G966:H966"/>
    <mergeCell ref="I966:J966"/>
    <mergeCell ref="K966:K967"/>
    <mergeCell ref="A976:J976"/>
    <mergeCell ref="A955:J955"/>
    <mergeCell ref="A956:J956"/>
    <mergeCell ref="A957:J957"/>
    <mergeCell ref="A960:K960"/>
    <mergeCell ref="C961:K961"/>
    <mergeCell ref="E962:G962"/>
    <mergeCell ref="J962:K962"/>
    <mergeCell ref="K992:K993"/>
    <mergeCell ref="G994:H994"/>
    <mergeCell ref="G995:H995"/>
    <mergeCell ref="G996:H996"/>
    <mergeCell ref="G997:H997"/>
    <mergeCell ref="G998:H998"/>
    <mergeCell ref="B986:G986"/>
    <mergeCell ref="D987:J987"/>
    <mergeCell ref="D988:J988"/>
    <mergeCell ref="D989:J989"/>
    <mergeCell ref="A992:E993"/>
    <mergeCell ref="F992:F993"/>
    <mergeCell ref="G992:H993"/>
    <mergeCell ref="I992:I993"/>
    <mergeCell ref="J992:J993"/>
    <mergeCell ref="B980:G980"/>
    <mergeCell ref="B981:G981"/>
    <mergeCell ref="B982:G982"/>
    <mergeCell ref="B983:G983"/>
    <mergeCell ref="B984:G984"/>
    <mergeCell ref="B985:G985"/>
    <mergeCell ref="A1010:E1011"/>
    <mergeCell ref="F1010:F1011"/>
    <mergeCell ref="G1010:H1011"/>
    <mergeCell ref="I1010:I1011"/>
    <mergeCell ref="J1010:J1011"/>
    <mergeCell ref="K1010:K1011"/>
    <mergeCell ref="K1003:K1004"/>
    <mergeCell ref="G1005:H1005"/>
    <mergeCell ref="G1006:H1006"/>
    <mergeCell ref="G1007:H1007"/>
    <mergeCell ref="G1008:H1008"/>
    <mergeCell ref="A1009:J1009"/>
    <mergeCell ref="G999:H999"/>
    <mergeCell ref="G1000:H1000"/>
    <mergeCell ref="G1001:H1001"/>
    <mergeCell ref="A1002:J1002"/>
    <mergeCell ref="A1003:E1004"/>
    <mergeCell ref="F1003:F1004"/>
    <mergeCell ref="G1003:H1004"/>
    <mergeCell ref="I1003:I1004"/>
    <mergeCell ref="J1003:J1004"/>
    <mergeCell ref="A1027:J1027"/>
    <mergeCell ref="A1028:J1028"/>
    <mergeCell ref="A1029:J1029"/>
    <mergeCell ref="A1030:J1030"/>
    <mergeCell ref="A1033:K1033"/>
    <mergeCell ref="C1034:K1034"/>
    <mergeCell ref="A1018:J1018"/>
    <mergeCell ref="A1019:B1020"/>
    <mergeCell ref="C1019:C1020"/>
    <mergeCell ref="E1019:G1019"/>
    <mergeCell ref="H1019:J1019"/>
    <mergeCell ref="K1019:K1020"/>
    <mergeCell ref="G1012:H1012"/>
    <mergeCell ref="G1013:H1013"/>
    <mergeCell ref="G1014:H1014"/>
    <mergeCell ref="G1015:H1015"/>
    <mergeCell ref="G1016:H1016"/>
    <mergeCell ref="G1017:H1017"/>
    <mergeCell ref="B1052:G1052"/>
    <mergeCell ref="B1053:G1053"/>
    <mergeCell ref="B1054:G1054"/>
    <mergeCell ref="B1055:G1055"/>
    <mergeCell ref="B1056:G1056"/>
    <mergeCell ref="B1057:G1057"/>
    <mergeCell ref="A1049:J1049"/>
    <mergeCell ref="A1050:E1051"/>
    <mergeCell ref="H1050:H1051"/>
    <mergeCell ref="I1050:I1051"/>
    <mergeCell ref="J1050:J1051"/>
    <mergeCell ref="K1050:K1051"/>
    <mergeCell ref="E1035:G1035"/>
    <mergeCell ref="J1035:K1035"/>
    <mergeCell ref="A1038:I1038"/>
    <mergeCell ref="A1039:E1040"/>
    <mergeCell ref="G1039:H1039"/>
    <mergeCell ref="I1039:J1039"/>
    <mergeCell ref="K1039:K1040"/>
    <mergeCell ref="A1072:E1073"/>
    <mergeCell ref="F1072:F1073"/>
    <mergeCell ref="G1072:H1073"/>
    <mergeCell ref="I1072:I1073"/>
    <mergeCell ref="J1072:J1073"/>
    <mergeCell ref="K1072:K1073"/>
    <mergeCell ref="K1065:K1066"/>
    <mergeCell ref="G1067:H1067"/>
    <mergeCell ref="G1068:H1068"/>
    <mergeCell ref="G1069:H1069"/>
    <mergeCell ref="G1070:H1070"/>
    <mergeCell ref="A1071:J1071"/>
    <mergeCell ref="B1058:G1058"/>
    <mergeCell ref="B1059:G1059"/>
    <mergeCell ref="D1060:J1060"/>
    <mergeCell ref="D1061:J1061"/>
    <mergeCell ref="D1062:J1062"/>
    <mergeCell ref="A1065:E1066"/>
    <mergeCell ref="F1065:F1066"/>
    <mergeCell ref="G1065:H1066"/>
    <mergeCell ref="I1065:I1066"/>
    <mergeCell ref="J1065:J1066"/>
    <mergeCell ref="A1093:J1093"/>
    <mergeCell ref="A1094:J1094"/>
    <mergeCell ref="A1095:J1095"/>
    <mergeCell ref="A1086:B1087"/>
    <mergeCell ref="C1086:C1087"/>
    <mergeCell ref="E1086:G1086"/>
    <mergeCell ref="H1086:J1086"/>
    <mergeCell ref="K1086:K1087"/>
    <mergeCell ref="A1092:J1092"/>
    <mergeCell ref="K1079:K1080"/>
    <mergeCell ref="G1081:H1081"/>
    <mergeCell ref="G1082:H1082"/>
    <mergeCell ref="G1083:H1083"/>
    <mergeCell ref="G1084:H1084"/>
    <mergeCell ref="A1085:J1085"/>
    <mergeCell ref="G1074:H1074"/>
    <mergeCell ref="G1075:H1075"/>
    <mergeCell ref="G1076:H1076"/>
    <mergeCell ref="G1077:H1077"/>
    <mergeCell ref="A1078:J1078"/>
    <mergeCell ref="A1079:E1080"/>
    <mergeCell ref="F1079:F1080"/>
    <mergeCell ref="G1079:H1080"/>
    <mergeCell ref="I1079:I1080"/>
    <mergeCell ref="J1079:J1080"/>
    <mergeCell ref="C325:K325"/>
    <mergeCell ref="A324:K324"/>
    <mergeCell ref="A766:J766"/>
    <mergeCell ref="A765:J765"/>
    <mergeCell ref="A764:J764"/>
    <mergeCell ref="J706:K706"/>
    <mergeCell ref="E706:G706"/>
    <mergeCell ref="C705:K705"/>
    <mergeCell ref="A704:K704"/>
    <mergeCell ref="A573:J573"/>
    <mergeCell ref="A572:J572"/>
    <mergeCell ref="A571:J571"/>
    <mergeCell ref="A444:J444"/>
    <mergeCell ref="A447:J447"/>
    <mergeCell ref="A446:J446"/>
    <mergeCell ref="A445:J445"/>
    <mergeCell ref="K438:K439"/>
    <mergeCell ref="H438:J438"/>
    <mergeCell ref="E438:G438"/>
    <mergeCell ref="C438:C439"/>
    <mergeCell ref="A438:B439"/>
    <mergeCell ref="J389:K389"/>
    <mergeCell ref="E389:G389"/>
    <mergeCell ref="C388:K388"/>
    <mergeCell ref="A387:K387"/>
    <mergeCell ref="J326:K326"/>
    <mergeCell ref="E326:G326"/>
    <mergeCell ref="K750:K751"/>
    <mergeCell ref="G752:H752"/>
    <mergeCell ref="G753:H753"/>
    <mergeCell ref="G754:H754"/>
    <mergeCell ref="G755:H755"/>
  </mergeCells>
  <printOptions horizontalCentered="1"/>
  <pageMargins left="0.39370078740157483" right="0" top="0.39370078740157483" bottom="0" header="0.51181102362204722" footer="0.51181102362204722"/>
  <pageSetup paperSize="9" scale="68" fitToHeight="0" orientation="portrait" r:id="rId1"/>
  <rowBreaks count="17" manualBreakCount="17">
    <brk id="65" max="16383" man="1"/>
    <brk id="129" max="16383" man="1"/>
    <brk id="194" max="16383" man="1"/>
    <brk id="259" max="16383" man="1"/>
    <brk id="322" max="16383" man="1"/>
    <brk id="385" max="16383" man="1"/>
    <brk id="448" max="16383" man="1"/>
    <brk id="511" max="16383" man="1"/>
    <brk id="574" max="16383" man="1"/>
    <brk id="637" max="16383" man="1"/>
    <brk id="702" max="16383" man="1"/>
    <brk id="767" max="16383" man="1"/>
    <brk id="832" max="16383" man="1"/>
    <brk id="895" max="16383" man="1"/>
    <brk id="958" max="16383" man="1"/>
    <brk id="1031" max="16383" man="1"/>
    <brk id="1096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23"/>
  <sheetViews>
    <sheetView showGridLines="0" view="pageBreakPreview" zoomScale="60" zoomScaleNormal="70" workbookViewId="0">
      <selection activeCell="J19" sqref="J19:K19"/>
    </sheetView>
  </sheetViews>
  <sheetFormatPr defaultRowHeight="15" x14ac:dyDescent="0.25"/>
  <cols>
    <col min="1" max="1" width="2.7109375" style="108" customWidth="1"/>
    <col min="2" max="2" width="48.140625" style="111" customWidth="1"/>
    <col min="3" max="3" width="27.7109375" style="111" bestFit="1" customWidth="1"/>
    <col min="4" max="4" width="27.7109375" style="111" customWidth="1"/>
    <col min="5" max="5" width="14.7109375" style="109" customWidth="1"/>
    <col min="6" max="6" width="9" style="648" bestFit="1" customWidth="1"/>
    <col min="7" max="7" width="20.7109375" style="649" customWidth="1"/>
    <col min="8" max="9" width="20.7109375" style="650" customWidth="1"/>
    <col min="10" max="10" width="33.42578125" style="651" customWidth="1"/>
    <col min="11" max="11" width="24.5703125" style="108" customWidth="1"/>
    <col min="12" max="12" width="2.42578125" style="108" customWidth="1"/>
    <col min="13" max="13" width="11" style="108" customWidth="1"/>
    <col min="14" max="14" width="9.28515625" style="108" bestFit="1" customWidth="1"/>
    <col min="15" max="16" width="9.140625" style="108"/>
    <col min="17" max="17" width="135.42578125" style="108" customWidth="1"/>
    <col min="18" max="16384" width="9.140625" style="108"/>
  </cols>
  <sheetData>
    <row r="1" spans="1:11" s="16" customFormat="1" ht="16.5" customHeight="1" x14ac:dyDescent="0.2">
      <c r="B1" s="103"/>
      <c r="C1" s="103"/>
      <c r="D1" s="103"/>
      <c r="G1" s="634"/>
      <c r="H1" s="635"/>
      <c r="I1" s="635"/>
      <c r="J1" s="113"/>
    </row>
    <row r="2" spans="1:11" s="16" customFormat="1" ht="14.25" x14ac:dyDescent="0.2">
      <c r="B2" s="103"/>
      <c r="C2" s="103"/>
      <c r="D2" s="103"/>
      <c r="G2" s="634"/>
      <c r="H2" s="635"/>
      <c r="I2" s="635"/>
      <c r="J2" s="113"/>
    </row>
    <row r="3" spans="1:11" s="16" customFormat="1" ht="23.25" x14ac:dyDescent="0.35">
      <c r="B3" s="694"/>
      <c r="C3" s="695"/>
      <c r="D3" s="695"/>
      <c r="E3" s="695"/>
      <c r="F3" s="695"/>
      <c r="G3" s="695"/>
      <c r="H3" s="695"/>
      <c r="I3" s="695"/>
      <c r="J3" s="695"/>
      <c r="K3" s="696"/>
    </row>
    <row r="4" spans="1:11" s="112" customFormat="1" ht="23.25" x14ac:dyDescent="0.35">
      <c r="B4" s="703" t="s">
        <v>84</v>
      </c>
      <c r="C4" s="704"/>
      <c r="D4" s="704"/>
      <c r="E4" s="704"/>
      <c r="F4" s="704"/>
      <c r="G4" s="704"/>
      <c r="H4" s="704"/>
      <c r="I4" s="704"/>
      <c r="J4" s="704"/>
      <c r="K4" s="705"/>
    </row>
    <row r="5" spans="1:11" s="16" customFormat="1" ht="20.25" x14ac:dyDescent="0.3">
      <c r="B5" s="740"/>
      <c r="C5" s="741"/>
      <c r="D5" s="741"/>
      <c r="E5" s="741"/>
      <c r="F5" s="741"/>
      <c r="G5" s="741"/>
      <c r="H5" s="741"/>
      <c r="I5" s="741"/>
      <c r="J5" s="741"/>
      <c r="K5" s="742"/>
    </row>
    <row r="6" spans="1:11" s="112" customFormat="1" ht="20.25" x14ac:dyDescent="0.25">
      <c r="B6" s="743" t="s">
        <v>85</v>
      </c>
      <c r="C6" s="744"/>
      <c r="D6" s="744"/>
      <c r="E6" s="744"/>
      <c r="F6" s="744"/>
      <c r="G6" s="744"/>
      <c r="H6" s="744"/>
      <c r="I6" s="744"/>
      <c r="J6" s="744"/>
      <c r="K6" s="745"/>
    </row>
    <row r="7" spans="1:11" s="112" customFormat="1" ht="20.25" x14ac:dyDescent="0.25">
      <c r="B7" s="743"/>
      <c r="C7" s="744"/>
      <c r="D7" s="744"/>
      <c r="E7" s="744"/>
      <c r="F7" s="744"/>
      <c r="G7" s="744"/>
      <c r="H7" s="744"/>
      <c r="I7" s="744"/>
      <c r="J7" s="744"/>
      <c r="K7" s="745"/>
    </row>
    <row r="8" spans="1:11" s="16" customFormat="1" ht="20.25" x14ac:dyDescent="0.3">
      <c r="B8" s="104"/>
      <c r="C8" s="735"/>
      <c r="D8" s="735"/>
      <c r="E8" s="735"/>
      <c r="F8" s="735"/>
      <c r="G8" s="735"/>
      <c r="H8" s="735"/>
      <c r="I8" s="735"/>
      <c r="J8" s="735"/>
      <c r="K8" s="736"/>
    </row>
    <row r="9" spans="1:11" s="16" customFormat="1" ht="14.25" x14ac:dyDescent="0.2">
      <c r="G9" s="634"/>
      <c r="H9" s="635"/>
      <c r="I9" s="635"/>
      <c r="J9" s="113"/>
    </row>
    <row r="10" spans="1:11" s="106" customFormat="1" ht="30.75" customHeight="1" x14ac:dyDescent="0.2">
      <c r="A10" s="16"/>
      <c r="B10" s="737" t="s">
        <v>1664</v>
      </c>
      <c r="C10" s="738"/>
      <c r="D10" s="738"/>
      <c r="E10" s="738"/>
      <c r="F10" s="738"/>
      <c r="G10" s="738"/>
      <c r="H10" s="738"/>
      <c r="I10" s="738"/>
      <c r="J10" s="738"/>
      <c r="K10" s="739"/>
    </row>
    <row r="12" spans="1:11" s="149" customFormat="1" ht="23.25" customHeight="1" x14ac:dyDescent="0.25">
      <c r="A12" s="144"/>
      <c r="B12" s="145"/>
      <c r="C12" s="146" t="s">
        <v>66</v>
      </c>
      <c r="D12" s="146"/>
      <c r="E12" s="636">
        <f>_ORÇAMENTO!D10</f>
        <v>0</v>
      </c>
      <c r="F12" s="148"/>
      <c r="G12" s="637"/>
      <c r="H12" s="638"/>
      <c r="I12" s="638"/>
      <c r="J12" s="639" t="s">
        <v>52</v>
      </c>
      <c r="K12" s="640" t="str">
        <f>_ORÇAMENTO!H10</f>
        <v>ABRIL/2022</v>
      </c>
    </row>
    <row r="13" spans="1:11" s="149" customFormat="1" ht="23.25" customHeight="1" x14ac:dyDescent="0.25">
      <c r="A13" s="150"/>
      <c r="B13" s="151"/>
      <c r="C13" s="152"/>
      <c r="D13" s="152"/>
      <c r="E13" s="153"/>
      <c r="F13" s="154"/>
      <c r="G13" s="641"/>
      <c r="H13" s="642"/>
      <c r="I13" s="642"/>
      <c r="J13" s="643" t="s">
        <v>79</v>
      </c>
      <c r="K13" s="143" t="str">
        <f>_ORÇAMENTO!H11</f>
        <v xml:space="preserve"> ONERADO</v>
      </c>
    </row>
    <row r="14" spans="1:11" s="149" customFormat="1" ht="23.25" customHeight="1" x14ac:dyDescent="0.25">
      <c r="A14" s="150"/>
      <c r="B14" s="151"/>
      <c r="C14" s="152" t="s">
        <v>69</v>
      </c>
      <c r="D14" s="152"/>
      <c r="E14" s="155" t="str">
        <f>_ORÇAMENTO!D12</f>
        <v>Aumento de patologias entre a data da proposta
e a assunção da Concessionária</v>
      </c>
      <c r="F14" s="154"/>
      <c r="G14" s="641"/>
      <c r="H14" s="642"/>
      <c r="I14" s="642"/>
      <c r="J14" s="643" t="s">
        <v>23</v>
      </c>
      <c r="K14" s="644">
        <f>_ORÇAMENTO!H12</f>
        <v>0.2676</v>
      </c>
    </row>
    <row r="15" spans="1:11" s="149" customFormat="1" ht="23.25" customHeight="1" x14ac:dyDescent="0.25">
      <c r="A15" s="150"/>
      <c r="B15" s="156"/>
      <c r="C15" s="157"/>
      <c r="D15" s="157"/>
      <c r="E15" s="157"/>
      <c r="F15" s="157"/>
      <c r="G15" s="645"/>
      <c r="H15" s="646"/>
      <c r="I15" s="646"/>
      <c r="J15" s="647"/>
      <c r="K15" s="159"/>
    </row>
    <row r="16" spans="1:11" ht="18" customHeight="1" x14ac:dyDescent="0.25"/>
    <row r="17" spans="2:16" s="653" customFormat="1" ht="25.5" customHeight="1" x14ac:dyDescent="0.25">
      <c r="B17" s="887" t="s">
        <v>1665</v>
      </c>
      <c r="C17" s="887" t="s">
        <v>1666</v>
      </c>
      <c r="D17" s="887" t="s">
        <v>1667</v>
      </c>
      <c r="E17" s="890" t="s">
        <v>1668</v>
      </c>
      <c r="F17" s="891"/>
      <c r="G17" s="892" t="s">
        <v>1669</v>
      </c>
      <c r="H17" s="892"/>
      <c r="I17" s="652" t="s">
        <v>1670</v>
      </c>
      <c r="J17" s="893" t="s">
        <v>1671</v>
      </c>
      <c r="K17" s="893"/>
    </row>
    <row r="18" spans="2:16" s="653" customFormat="1" ht="25.5" customHeight="1" x14ac:dyDescent="0.25">
      <c r="B18" s="888"/>
      <c r="C18" s="889"/>
      <c r="D18" s="889"/>
      <c r="E18" s="654" t="s">
        <v>1672</v>
      </c>
      <c r="F18" s="655" t="s">
        <v>1673</v>
      </c>
      <c r="G18" s="652" t="s">
        <v>1674</v>
      </c>
      <c r="H18" s="652" t="s">
        <v>1675</v>
      </c>
      <c r="I18" s="652" t="s">
        <v>1676</v>
      </c>
      <c r="J18" s="893"/>
      <c r="K18" s="893"/>
    </row>
    <row r="19" spans="2:16" s="653" customFormat="1" ht="24.95" customHeight="1" x14ac:dyDescent="0.25">
      <c r="B19" s="882" t="s">
        <v>1677</v>
      </c>
      <c r="C19" s="626" t="s">
        <v>1678</v>
      </c>
      <c r="D19" s="626" t="s">
        <v>1679</v>
      </c>
      <c r="E19" s="673">
        <v>185</v>
      </c>
      <c r="F19" s="674" t="s">
        <v>195</v>
      </c>
      <c r="G19" s="675">
        <v>44662</v>
      </c>
      <c r="H19" s="656" t="s">
        <v>1680</v>
      </c>
      <c r="I19" s="657">
        <v>0</v>
      </c>
      <c r="J19" s="885">
        <f>TRUNC(E19+E19*I19,2)</f>
        <v>185</v>
      </c>
      <c r="K19" s="885"/>
      <c r="N19" s="653">
        <f t="shared" ref="N19:N20" si="0">P19/O19</f>
        <v>1</v>
      </c>
      <c r="O19" s="653">
        <v>491.87</v>
      </c>
      <c r="P19" s="653">
        <v>491.87</v>
      </c>
    </row>
    <row r="20" spans="2:16" s="653" customFormat="1" ht="24.95" customHeight="1" x14ac:dyDescent="0.25">
      <c r="B20" s="883"/>
      <c r="C20" s="626" t="s">
        <v>1681</v>
      </c>
      <c r="D20" s="626" t="s">
        <v>1679</v>
      </c>
      <c r="E20" s="673">
        <v>160</v>
      </c>
      <c r="F20" s="676" t="s">
        <v>195</v>
      </c>
      <c r="G20" s="675">
        <v>44673</v>
      </c>
      <c r="H20" s="656" t="s">
        <v>1680</v>
      </c>
      <c r="I20" s="658">
        <v>0</v>
      </c>
      <c r="J20" s="886">
        <f t="shared" ref="J20:J21" si="1">TRUNC(E20+E20*I20,2)</f>
        <v>160</v>
      </c>
      <c r="K20" s="886"/>
      <c r="N20" s="653">
        <f t="shared" si="0"/>
        <v>1</v>
      </c>
      <c r="O20" s="653">
        <v>491.87</v>
      </c>
      <c r="P20" s="653">
        <v>491.87</v>
      </c>
    </row>
    <row r="21" spans="2:16" s="653" customFormat="1" ht="24.95" customHeight="1" x14ac:dyDescent="0.25">
      <c r="B21" s="884"/>
      <c r="C21" s="626" t="s">
        <v>1682</v>
      </c>
      <c r="D21" s="626" t="s">
        <v>1679</v>
      </c>
      <c r="E21" s="673">
        <v>244</v>
      </c>
      <c r="F21" s="676" t="s">
        <v>195</v>
      </c>
      <c r="G21" s="675">
        <v>44757</v>
      </c>
      <c r="H21" s="656" t="s">
        <v>1680</v>
      </c>
      <c r="I21" s="659">
        <f>-1+N21</f>
        <v>-6.209539790441132E-2</v>
      </c>
      <c r="J21" s="886">
        <f t="shared" si="1"/>
        <v>228.84</v>
      </c>
      <c r="K21" s="886"/>
      <c r="N21" s="653">
        <f>P21/O21</f>
        <v>0.93790460209558868</v>
      </c>
      <c r="O21" s="653">
        <v>524.43499999999995</v>
      </c>
      <c r="P21" s="653">
        <v>491.87</v>
      </c>
    </row>
    <row r="22" spans="2:16" ht="24.95" customHeight="1" x14ac:dyDescent="0.25">
      <c r="J22" s="681"/>
    </row>
    <row r="23" spans="2:16" x14ac:dyDescent="0.25">
      <c r="J23" s="241"/>
    </row>
  </sheetData>
  <mergeCells count="17">
    <mergeCell ref="B19:B21"/>
    <mergeCell ref="J19:K19"/>
    <mergeCell ref="J20:K20"/>
    <mergeCell ref="J21:K21"/>
    <mergeCell ref="B10:K10"/>
    <mergeCell ref="B17:B18"/>
    <mergeCell ref="C17:C18"/>
    <mergeCell ref="D17:D18"/>
    <mergeCell ref="E17:F17"/>
    <mergeCell ref="G17:H17"/>
    <mergeCell ref="J17:K18"/>
    <mergeCell ref="C8:K8"/>
    <mergeCell ref="B3:K3"/>
    <mergeCell ref="B4:K4"/>
    <mergeCell ref="B5:K5"/>
    <mergeCell ref="B6:K6"/>
    <mergeCell ref="B7:K7"/>
  </mergeCells>
  <pageMargins left="0.51181102362204722" right="0.51181102362204722" top="0.78740157480314965" bottom="0.78740157480314965" header="0.31496062992125984" footer="0.31496062992125984"/>
  <pageSetup paperSize="9" scale="3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W102"/>
  <sheetViews>
    <sheetView showGridLines="0" view="pageBreakPreview" topLeftCell="A12" zoomScale="70" zoomScaleNormal="55" zoomScaleSheetLayoutView="70" workbookViewId="0">
      <selection activeCell="P26" sqref="C26:P28"/>
    </sheetView>
  </sheetViews>
  <sheetFormatPr defaultColWidth="9.140625" defaultRowHeight="14.25" x14ac:dyDescent="0.2"/>
  <cols>
    <col min="1" max="1" width="5.140625" style="478" customWidth="1"/>
    <col min="2" max="2" width="43.5703125" style="477" customWidth="1"/>
    <col min="3" max="3" width="30.7109375" style="589" customWidth="1"/>
    <col min="4" max="4" width="15.7109375" style="590" hidden="1" customWidth="1"/>
    <col min="5" max="8" width="15.7109375" style="477" customWidth="1"/>
    <col min="9" max="9" width="15.7109375" style="477" hidden="1" customWidth="1"/>
    <col min="10" max="12" width="15.7109375" style="477" customWidth="1"/>
    <col min="13" max="13" width="15.7109375" style="477" hidden="1" customWidth="1"/>
    <col min="14" max="14" width="22" style="477" hidden="1" customWidth="1"/>
    <col min="15" max="15" width="14.42578125" style="478" hidden="1" customWidth="1"/>
    <col min="16" max="16" width="6.42578125" style="477" bestFit="1" customWidth="1"/>
    <col min="17" max="17" width="10.140625" style="554" bestFit="1" customWidth="1"/>
    <col min="18" max="18" width="21" style="477" customWidth="1"/>
    <col min="19" max="19" width="27.140625" style="477" customWidth="1"/>
    <col min="20" max="20" width="11.28515625" style="477" customWidth="1"/>
    <col min="21" max="21" width="7.28515625" style="555" bestFit="1" customWidth="1"/>
    <col min="22" max="16384" width="9.140625" style="477"/>
  </cols>
  <sheetData>
    <row r="1" spans="1:15" x14ac:dyDescent="0.2">
      <c r="A1" s="16"/>
      <c r="B1" s="103"/>
      <c r="C1" s="103"/>
      <c r="D1" s="239"/>
      <c r="E1" s="103"/>
      <c r="F1" s="244"/>
      <c r="G1" s="244"/>
      <c r="H1" s="16"/>
      <c r="I1" s="16"/>
    </row>
    <row r="2" spans="1:15" x14ac:dyDescent="0.2">
      <c r="A2" s="16"/>
      <c r="B2" s="103"/>
      <c r="C2" s="103"/>
      <c r="D2" s="239"/>
      <c r="E2" s="103"/>
      <c r="F2" s="244"/>
      <c r="G2" s="244"/>
      <c r="H2" s="16"/>
      <c r="I2" s="16"/>
    </row>
    <row r="3" spans="1:15" ht="23.25" x14ac:dyDescent="0.35">
      <c r="A3" s="16"/>
      <c r="B3" s="694"/>
      <c r="C3" s="695"/>
      <c r="D3" s="695"/>
      <c r="E3" s="695"/>
      <c r="F3" s="695"/>
      <c r="G3" s="695"/>
      <c r="H3" s="695"/>
      <c r="I3" s="48"/>
      <c r="J3" s="479"/>
      <c r="K3" s="479"/>
      <c r="L3" s="479"/>
      <c r="M3" s="480"/>
      <c r="N3" s="480"/>
      <c r="O3" s="677"/>
    </row>
    <row r="4" spans="1:15" ht="23.25" x14ac:dyDescent="0.35">
      <c r="A4" s="112"/>
      <c r="B4" s="703" t="str">
        <f>CAPA!B4</f>
        <v>CONCESSIONÁRIA ROTA DE SANTA MARIA</v>
      </c>
      <c r="C4" s="704"/>
      <c r="D4" s="704"/>
      <c r="E4" s="704"/>
      <c r="F4" s="704"/>
      <c r="G4" s="704"/>
      <c r="H4" s="704"/>
      <c r="I4" s="704"/>
      <c r="J4" s="704"/>
      <c r="K4" s="704"/>
      <c r="L4" s="704"/>
      <c r="M4" s="705"/>
      <c r="N4" s="481"/>
      <c r="O4" s="677"/>
    </row>
    <row r="5" spans="1:15" ht="20.25" x14ac:dyDescent="0.3">
      <c r="A5" s="16"/>
      <c r="B5" s="740"/>
      <c r="C5" s="741"/>
      <c r="D5" s="741"/>
      <c r="E5" s="741"/>
      <c r="F5" s="741"/>
      <c r="G5" s="741"/>
      <c r="H5" s="741"/>
      <c r="I5" s="22"/>
      <c r="J5" s="482"/>
      <c r="K5" s="482"/>
      <c r="L5" s="482"/>
      <c r="M5" s="481"/>
      <c r="N5" s="481"/>
      <c r="O5" s="677"/>
    </row>
    <row r="6" spans="1:15" ht="20.25" x14ac:dyDescent="0.2">
      <c r="A6" s="16"/>
      <c r="B6" s="743">
        <f>CAPA!B6</f>
        <v>0</v>
      </c>
      <c r="C6" s="744"/>
      <c r="D6" s="744"/>
      <c r="E6" s="744"/>
      <c r="F6" s="744"/>
      <c r="G6" s="744"/>
      <c r="H6" s="744"/>
      <c r="I6" s="744"/>
      <c r="J6" s="744"/>
      <c r="K6" s="744"/>
      <c r="L6" s="744"/>
      <c r="M6" s="745"/>
      <c r="N6" s="481"/>
      <c r="O6" s="677"/>
    </row>
    <row r="7" spans="1:15" ht="20.25" x14ac:dyDescent="0.2">
      <c r="A7" s="112"/>
      <c r="B7" s="743"/>
      <c r="C7" s="744"/>
      <c r="D7" s="744"/>
      <c r="E7" s="744"/>
      <c r="F7" s="744"/>
      <c r="G7" s="744"/>
      <c r="H7" s="744"/>
      <c r="I7" s="630"/>
      <c r="J7" s="482"/>
      <c r="K7" s="482"/>
      <c r="L7" s="482"/>
      <c r="M7" s="481"/>
      <c r="N7" s="481"/>
      <c r="O7" s="677"/>
    </row>
    <row r="8" spans="1:15" ht="20.25" x14ac:dyDescent="0.3">
      <c r="A8" s="16"/>
      <c r="B8" s="104"/>
      <c r="C8" s="735"/>
      <c r="D8" s="735"/>
      <c r="E8" s="735"/>
      <c r="F8" s="735"/>
      <c r="G8" s="735"/>
      <c r="H8" s="735"/>
      <c r="I8" s="43"/>
      <c r="J8" s="483"/>
      <c r="K8" s="483"/>
      <c r="L8" s="483"/>
      <c r="M8" s="484"/>
      <c r="N8" s="484"/>
      <c r="O8" s="677"/>
    </row>
    <row r="9" spans="1:15" x14ac:dyDescent="0.2">
      <c r="A9" s="16"/>
      <c r="B9" s="16"/>
      <c r="C9" s="16"/>
      <c r="D9" s="239"/>
      <c r="E9" s="103"/>
      <c r="F9" s="244"/>
      <c r="G9" s="244"/>
      <c r="H9" s="16"/>
      <c r="I9" s="16"/>
    </row>
    <row r="10" spans="1:15" ht="20.25" x14ac:dyDescent="0.2">
      <c r="A10" s="16"/>
      <c r="B10" s="737" t="s">
        <v>255</v>
      </c>
      <c r="C10" s="738"/>
      <c r="D10" s="738"/>
      <c r="E10" s="738"/>
      <c r="F10" s="738"/>
      <c r="G10" s="738"/>
      <c r="H10" s="738"/>
      <c r="I10" s="738"/>
      <c r="J10" s="738"/>
      <c r="K10" s="738"/>
      <c r="L10" s="738"/>
      <c r="M10" s="738"/>
      <c r="N10" s="739"/>
    </row>
    <row r="11" spans="1:15" ht="15" x14ac:dyDescent="0.2">
      <c r="A11" s="161"/>
      <c r="B11" s="111"/>
      <c r="C11" s="108"/>
      <c r="D11" s="109"/>
      <c r="E11" s="257"/>
      <c r="F11" s="249"/>
      <c r="G11" s="241"/>
      <c r="H11" s="108"/>
      <c r="I11" s="108"/>
    </row>
    <row r="12" spans="1:15" ht="15.75" x14ac:dyDescent="0.2">
      <c r="A12" s="144"/>
      <c r="B12" s="485" t="s">
        <v>66</v>
      </c>
      <c r="C12" s="147" t="str">
        <f>CAPA!D31</f>
        <v>RSC-287 KM 28+000 ao KM+180+000</v>
      </c>
      <c r="D12" s="246"/>
      <c r="E12" s="254"/>
      <c r="F12" s="479"/>
      <c r="G12" s="479"/>
      <c r="H12" s="479"/>
      <c r="I12" s="148"/>
      <c r="J12" s="479"/>
      <c r="K12" s="252" t="s">
        <v>52</v>
      </c>
      <c r="L12" s="242" t="str">
        <f>CAPA!D47</f>
        <v>ABRIL/2022</v>
      </c>
    </row>
    <row r="13" spans="1:15" ht="15.75" x14ac:dyDescent="0.2">
      <c r="A13" s="150"/>
      <c r="B13" s="486"/>
      <c r="C13" s="153"/>
      <c r="D13" s="265"/>
      <c r="E13" s="248"/>
      <c r="F13" s="482"/>
      <c r="G13" s="482"/>
      <c r="H13" s="482"/>
      <c r="I13" s="154"/>
      <c r="J13" s="482"/>
      <c r="K13" s="253" t="s">
        <v>79</v>
      </c>
      <c r="L13" s="143" t="s">
        <v>78</v>
      </c>
    </row>
    <row r="14" spans="1:15" ht="15.75" x14ac:dyDescent="0.2">
      <c r="A14" s="150"/>
      <c r="B14" s="486" t="s">
        <v>69</v>
      </c>
      <c r="C14" s="155" t="str">
        <f>CAPA!B20</f>
        <v>Aumento de patologias entre a data da proposta
e a assunção da Concessionária</v>
      </c>
      <c r="D14" s="265"/>
      <c r="E14" s="248"/>
      <c r="F14" s="482"/>
      <c r="G14" s="482"/>
      <c r="H14" s="482"/>
      <c r="I14" s="154"/>
      <c r="J14" s="482"/>
      <c r="K14" s="253" t="s">
        <v>23</v>
      </c>
      <c r="L14" s="158">
        <f>BDI!I36</f>
        <v>0.2676</v>
      </c>
    </row>
    <row r="15" spans="1:15" ht="15.75" x14ac:dyDescent="0.2">
      <c r="A15" s="150"/>
      <c r="B15" s="156"/>
      <c r="C15" s="237"/>
      <c r="D15" s="157"/>
      <c r="E15" s="263"/>
      <c r="F15" s="243"/>
      <c r="G15" s="483"/>
      <c r="H15" s="483"/>
      <c r="I15" s="157"/>
      <c r="J15" s="483"/>
      <c r="K15" s="247" t="s">
        <v>256</v>
      </c>
      <c r="L15" s="159">
        <v>0.1037</v>
      </c>
    </row>
    <row r="16" spans="1:15" ht="15" x14ac:dyDescent="0.2">
      <c r="A16" s="161"/>
      <c r="B16" s="111"/>
      <c r="C16" s="108"/>
      <c r="D16" s="109"/>
      <c r="E16" s="257"/>
      <c r="F16" s="249"/>
      <c r="G16" s="241"/>
      <c r="H16" s="108"/>
      <c r="I16" s="108"/>
    </row>
    <row r="18" spans="1:23" s="493" customFormat="1" ht="25.5" x14ac:dyDescent="0.25">
      <c r="A18" s="487"/>
      <c r="B18" s="921" t="s">
        <v>257</v>
      </c>
      <c r="C18" s="921" t="s">
        <v>90</v>
      </c>
      <c r="D18" s="488" t="s">
        <v>258</v>
      </c>
      <c r="E18" s="489" t="s">
        <v>259</v>
      </c>
      <c r="F18" s="490" t="s">
        <v>260</v>
      </c>
      <c r="G18" s="491" t="s">
        <v>261</v>
      </c>
      <c r="H18" s="492" t="s">
        <v>262</v>
      </c>
      <c r="I18" s="492" t="s">
        <v>263</v>
      </c>
      <c r="J18" s="492" t="s">
        <v>264</v>
      </c>
      <c r="K18" s="490" t="s">
        <v>265</v>
      </c>
      <c r="L18" s="492" t="s">
        <v>266</v>
      </c>
      <c r="M18" s="492" t="s">
        <v>267</v>
      </c>
      <c r="N18" s="492" t="s">
        <v>268</v>
      </c>
      <c r="O18" s="487"/>
      <c r="U18" s="494"/>
    </row>
    <row r="19" spans="1:23" s="493" customFormat="1" ht="15" customHeight="1" x14ac:dyDescent="0.25">
      <c r="A19" s="487"/>
      <c r="B19" s="922"/>
      <c r="C19" s="922"/>
      <c r="D19" s="495" t="s">
        <v>269</v>
      </c>
      <c r="E19" s="495" t="s">
        <v>270</v>
      </c>
      <c r="F19" s="496" t="s">
        <v>271</v>
      </c>
      <c r="G19" s="497" t="s">
        <v>272</v>
      </c>
      <c r="H19" s="498" t="s">
        <v>270</v>
      </c>
      <c r="I19" s="498" t="s">
        <v>43</v>
      </c>
      <c r="J19" s="498" t="s">
        <v>273</v>
      </c>
      <c r="K19" s="496" t="s">
        <v>272</v>
      </c>
      <c r="L19" s="498" t="s">
        <v>270</v>
      </c>
      <c r="M19" s="498" t="s">
        <v>43</v>
      </c>
      <c r="N19" s="498" t="s">
        <v>43</v>
      </c>
      <c r="O19" s="487"/>
      <c r="T19" s="493" t="s">
        <v>274</v>
      </c>
      <c r="U19" s="494"/>
    </row>
    <row r="20" spans="1:23" s="507" customFormat="1" ht="12" customHeight="1" x14ac:dyDescent="0.2">
      <c r="A20" s="499"/>
      <c r="B20" s="500"/>
      <c r="C20" s="501"/>
      <c r="D20" s="502"/>
      <c r="E20" s="500"/>
      <c r="F20" s="503"/>
      <c r="G20" s="503"/>
      <c r="H20" s="500"/>
      <c r="I20" s="500"/>
      <c r="J20" s="500"/>
      <c r="K20" s="500"/>
      <c r="L20" s="500"/>
      <c r="M20" s="500"/>
      <c r="N20" s="500"/>
      <c r="O20" s="504"/>
      <c r="P20" s="505"/>
      <c r="Q20" s="506" t="s">
        <v>275</v>
      </c>
      <c r="R20" s="505"/>
      <c r="T20" s="910"/>
      <c r="U20" s="910"/>
      <c r="V20" s="910"/>
      <c r="W20" s="508"/>
    </row>
    <row r="21" spans="1:23" s="507" customFormat="1" ht="15.95" customHeight="1" x14ac:dyDescent="0.2">
      <c r="A21" s="499"/>
      <c r="B21" s="509" t="s">
        <v>276</v>
      </c>
      <c r="C21" s="510" t="s">
        <v>277</v>
      </c>
      <c r="D21" s="511" t="e">
        <f>_ORÇAMENTO!F24+_ORÇAMENTO!#REF!</f>
        <v>#REF!</v>
      </c>
      <c r="E21" s="512">
        <f>Q21*1000</f>
        <v>3116.2022005218046</v>
      </c>
      <c r="F21" s="513">
        <f>$W$44</f>
        <v>0.26250000000000001</v>
      </c>
      <c r="G21" s="513">
        <f>L15</f>
        <v>0.1037</v>
      </c>
      <c r="H21" s="514">
        <f>(E21/(1-F21))*(1+G21)</f>
        <v>4663.5286355470034</v>
      </c>
      <c r="I21" s="515" t="e">
        <f>H21*D21</f>
        <v>#REF!</v>
      </c>
      <c r="J21" s="516">
        <v>105</v>
      </c>
      <c r="K21" s="513">
        <v>0.12</v>
      </c>
      <c r="L21" s="516">
        <f>VLOOKUP(B21,$B$41:$N$46,13,0)</f>
        <v>125.53458715909092</v>
      </c>
      <c r="M21" s="517" t="e">
        <f>D21*L21</f>
        <v>#REF!</v>
      </c>
      <c r="N21" s="518" t="e">
        <f>I21+M21</f>
        <v>#REF!</v>
      </c>
      <c r="O21" s="519"/>
      <c r="P21" s="520"/>
      <c r="Q21" s="521">
        <v>3.1162022005218044</v>
      </c>
      <c r="R21" s="505" t="s">
        <v>278</v>
      </c>
      <c r="S21" s="507" t="str">
        <f>B21</f>
        <v>Betunel - Montenegro/RS</v>
      </c>
      <c r="T21" s="522">
        <f t="shared" ref="T21:T36" si="0">H21/(1+$L$15)</f>
        <v>4225.3589159617686</v>
      </c>
      <c r="U21" s="523"/>
      <c r="W21" s="508"/>
    </row>
    <row r="22" spans="1:23" s="507" customFormat="1" ht="15.95" customHeight="1" x14ac:dyDescent="0.2">
      <c r="A22" s="499"/>
      <c r="B22" s="509" t="s">
        <v>279</v>
      </c>
      <c r="C22" s="510" t="s">
        <v>277</v>
      </c>
      <c r="D22" s="511" t="e">
        <f>D21</f>
        <v>#REF!</v>
      </c>
      <c r="E22" s="512">
        <f t="shared" ref="E22:E23" si="1">Q22*1000</f>
        <v>3116.2022005218046</v>
      </c>
      <c r="F22" s="513">
        <f>$W$44</f>
        <v>0.26250000000000001</v>
      </c>
      <c r="G22" s="513">
        <f>L15</f>
        <v>0.1037</v>
      </c>
      <c r="H22" s="514">
        <f t="shared" ref="H22:H23" si="2">(E22/(1-F22))*(1+G22)</f>
        <v>4663.5286355470034</v>
      </c>
      <c r="I22" s="515" t="e">
        <f>H22*D22</f>
        <v>#REF!</v>
      </c>
      <c r="J22" s="516">
        <v>143</v>
      </c>
      <c r="K22" s="513">
        <v>0.12</v>
      </c>
      <c r="L22" s="516">
        <f>VLOOKUP(B22,$B$41:$N$46,13,0)</f>
        <v>147.45808261363635</v>
      </c>
      <c r="M22" s="517" t="e">
        <f>D22*L22</f>
        <v>#REF!</v>
      </c>
      <c r="N22" s="524" t="e">
        <f>I22+M22</f>
        <v>#REF!</v>
      </c>
      <c r="O22" s="525"/>
      <c r="P22" s="520"/>
      <c r="Q22" s="521">
        <v>3.1162022005218044</v>
      </c>
      <c r="R22" s="505" t="s">
        <v>278</v>
      </c>
      <c r="S22" s="507" t="str">
        <f>B22</f>
        <v>Greca - Esteio/RS</v>
      </c>
      <c r="T22" s="522">
        <f t="shared" si="0"/>
        <v>4225.3589159617686</v>
      </c>
      <c r="U22" s="523"/>
      <c r="W22" s="508"/>
    </row>
    <row r="23" spans="1:23" s="507" customFormat="1" ht="15.95" customHeight="1" x14ac:dyDescent="0.2">
      <c r="A23" s="499"/>
      <c r="B23" s="509" t="s">
        <v>280</v>
      </c>
      <c r="C23" s="510" t="s">
        <v>277</v>
      </c>
      <c r="D23" s="511" t="e">
        <f>D21</f>
        <v>#REF!</v>
      </c>
      <c r="E23" s="512">
        <f t="shared" si="1"/>
        <v>3116.2022005218046</v>
      </c>
      <c r="F23" s="513">
        <f>$W$44</f>
        <v>0.26250000000000001</v>
      </c>
      <c r="G23" s="513">
        <f>L15</f>
        <v>0.1037</v>
      </c>
      <c r="H23" s="514">
        <f t="shared" si="2"/>
        <v>4663.5286355470034</v>
      </c>
      <c r="I23" s="515" t="e">
        <f>H23*D23</f>
        <v>#REF!</v>
      </c>
      <c r="J23" s="516">
        <v>144</v>
      </c>
      <c r="K23" s="513">
        <v>0.12</v>
      </c>
      <c r="L23" s="516">
        <f>VLOOKUP(B23,$B$41:$N$46,13,0)</f>
        <v>148.03501670454546</v>
      </c>
      <c r="M23" s="517" t="e">
        <f>D23*L23</f>
        <v>#REF!</v>
      </c>
      <c r="N23" s="524" t="e">
        <f>I23+M23</f>
        <v>#REF!</v>
      </c>
      <c r="O23" s="525"/>
      <c r="P23" s="520"/>
      <c r="Q23" s="521">
        <v>3.1162022005218044</v>
      </c>
      <c r="R23" s="505" t="s">
        <v>278</v>
      </c>
      <c r="S23" s="507" t="str">
        <f>B23</f>
        <v>Stratura - Canoas/RS</v>
      </c>
      <c r="T23" s="522">
        <f t="shared" si="0"/>
        <v>4225.3589159617686</v>
      </c>
      <c r="U23" s="523"/>
      <c r="W23" s="508"/>
    </row>
    <row r="24" spans="1:23" s="507" customFormat="1" ht="12" customHeight="1" x14ac:dyDescent="0.2">
      <c r="A24" s="499"/>
      <c r="B24" s="509"/>
      <c r="C24" s="510"/>
      <c r="D24" s="511"/>
      <c r="E24" s="512"/>
      <c r="F24" s="526"/>
      <c r="G24" s="526"/>
      <c r="H24" s="522"/>
      <c r="I24" s="517"/>
      <c r="J24" s="527"/>
      <c r="K24" s="526"/>
      <c r="L24" s="516"/>
      <c r="M24" s="517"/>
      <c r="N24" s="524"/>
      <c r="O24" s="525"/>
      <c r="P24" s="520"/>
      <c r="Q24" s="528"/>
      <c r="R24" s="505"/>
      <c r="T24" s="522">
        <f t="shared" si="0"/>
        <v>0</v>
      </c>
      <c r="U24" s="523"/>
      <c r="W24" s="508"/>
    </row>
    <row r="25" spans="1:23" s="507" customFormat="1" ht="15.95" customHeight="1" x14ac:dyDescent="0.2">
      <c r="A25" s="499"/>
      <c r="B25" s="509" t="s">
        <v>276</v>
      </c>
      <c r="C25" s="529" t="s">
        <v>306</v>
      </c>
      <c r="D25" s="511">
        <f>_ORÇAMENTO!F32</f>
        <v>22.599</v>
      </c>
      <c r="E25" s="512">
        <f t="shared" ref="E25:E27" si="3">Q25*1000</f>
        <v>4184.2258413041882</v>
      </c>
      <c r="F25" s="513">
        <f>$W$44</f>
        <v>0.26250000000000001</v>
      </c>
      <c r="G25" s="513">
        <f>L15</f>
        <v>0.1037</v>
      </c>
      <c r="H25" s="514">
        <f>(E25/(1-F25))*(1+G25)</f>
        <v>6261.8712692168565</v>
      </c>
      <c r="I25" s="515">
        <f>H25*D25</f>
        <v>141512.02881303173</v>
      </c>
      <c r="J25" s="516">
        <v>105</v>
      </c>
      <c r="K25" s="513">
        <v>0.12</v>
      </c>
      <c r="L25" s="516">
        <f>VLOOKUP(B25,$B$41:$N$46,13,0)</f>
        <v>125.53458715909092</v>
      </c>
      <c r="M25" s="517">
        <f>D25*L25</f>
        <v>2836.9561352082956</v>
      </c>
      <c r="N25" s="518">
        <f>I25+M25</f>
        <v>144348.98494824002</v>
      </c>
      <c r="O25" s="519"/>
      <c r="P25" s="520"/>
      <c r="Q25" s="521">
        <v>4.1842258413041886</v>
      </c>
      <c r="R25" s="505" t="s">
        <v>281</v>
      </c>
      <c r="S25" s="507" t="str">
        <f>B25</f>
        <v>Betunel - Montenegro/RS</v>
      </c>
      <c r="T25" s="522">
        <f t="shared" si="0"/>
        <v>5673.5265644802548</v>
      </c>
      <c r="U25" s="523"/>
      <c r="W25" s="508"/>
    </row>
    <row r="26" spans="1:23" s="507" customFormat="1" ht="15.95" customHeight="1" x14ac:dyDescent="0.2">
      <c r="A26" s="499"/>
      <c r="B26" s="509" t="s">
        <v>279</v>
      </c>
      <c r="C26" s="529" t="s">
        <v>306</v>
      </c>
      <c r="D26" s="511">
        <f>D25</f>
        <v>22.599</v>
      </c>
      <c r="E26" s="512">
        <f t="shared" si="3"/>
        <v>4184.2258413041882</v>
      </c>
      <c r="F26" s="513">
        <f>$W$44</f>
        <v>0.26250000000000001</v>
      </c>
      <c r="G26" s="513">
        <f>L15</f>
        <v>0.1037</v>
      </c>
      <c r="H26" s="514">
        <f t="shared" ref="H26:H27" si="4">(E26/(1-F26))*(1+G26)</f>
        <v>6261.8712692168565</v>
      </c>
      <c r="I26" s="515">
        <f>H26*D26</f>
        <v>141512.02881303173</v>
      </c>
      <c r="J26" s="516">
        <v>143</v>
      </c>
      <c r="K26" s="513">
        <v>0.12</v>
      </c>
      <c r="L26" s="516">
        <f>VLOOKUP(B26,$B$41:$N$46,13,0)</f>
        <v>147.45808261363635</v>
      </c>
      <c r="M26" s="517">
        <f>D26*L26</f>
        <v>3332.4052089855677</v>
      </c>
      <c r="N26" s="524">
        <f>I26+M26</f>
        <v>144844.43402201729</v>
      </c>
      <c r="O26" s="525"/>
      <c r="P26" s="520"/>
      <c r="Q26" s="521">
        <v>4.1842258413041886</v>
      </c>
      <c r="R26" s="505" t="s">
        <v>281</v>
      </c>
      <c r="S26" s="507" t="str">
        <f>B26</f>
        <v>Greca - Esteio/RS</v>
      </c>
      <c r="T26" s="522">
        <f t="shared" si="0"/>
        <v>5673.5265644802548</v>
      </c>
      <c r="U26" s="523"/>
      <c r="W26" s="508"/>
    </row>
    <row r="27" spans="1:23" s="507" customFormat="1" ht="15.95" customHeight="1" x14ac:dyDescent="0.2">
      <c r="A27" s="499"/>
      <c r="B27" s="509" t="s">
        <v>280</v>
      </c>
      <c r="C27" s="529" t="s">
        <v>306</v>
      </c>
      <c r="D27" s="511">
        <f>D25</f>
        <v>22.599</v>
      </c>
      <c r="E27" s="512">
        <f t="shared" si="3"/>
        <v>4184.2258413041882</v>
      </c>
      <c r="F27" s="513">
        <f>$W$44</f>
        <v>0.26250000000000001</v>
      </c>
      <c r="G27" s="513">
        <f>L15</f>
        <v>0.1037</v>
      </c>
      <c r="H27" s="514">
        <f t="shared" si="4"/>
        <v>6261.8712692168565</v>
      </c>
      <c r="I27" s="515">
        <f>H27*D27</f>
        <v>141512.02881303173</v>
      </c>
      <c r="J27" s="516">
        <v>144</v>
      </c>
      <c r="K27" s="513">
        <v>0.12</v>
      </c>
      <c r="L27" s="516">
        <f>VLOOKUP(B27,$B$41:$N$46,13,0)</f>
        <v>148.03501670454546</v>
      </c>
      <c r="M27" s="517">
        <f>D27*L27</f>
        <v>3345.4433425060229</v>
      </c>
      <c r="N27" s="524">
        <f>I27+M27</f>
        <v>144857.47215553775</v>
      </c>
      <c r="O27" s="525"/>
      <c r="P27" s="520"/>
      <c r="Q27" s="521">
        <v>4.1842258413041886</v>
      </c>
      <c r="R27" s="505" t="s">
        <v>281</v>
      </c>
      <c r="S27" s="507" t="str">
        <f>B27</f>
        <v>Stratura - Canoas/RS</v>
      </c>
      <c r="T27" s="522">
        <f t="shared" si="0"/>
        <v>5673.5265644802548</v>
      </c>
      <c r="U27" s="523"/>
      <c r="W27" s="508"/>
    </row>
    <row r="28" spans="1:23" s="538" customFormat="1" ht="12" customHeight="1" x14ac:dyDescent="0.2">
      <c r="A28" s="530"/>
      <c r="B28" s="531"/>
      <c r="C28" s="532"/>
      <c r="D28" s="533"/>
      <c r="E28" s="527"/>
      <c r="F28" s="526"/>
      <c r="G28" s="526"/>
      <c r="H28" s="522"/>
      <c r="I28" s="512"/>
      <c r="J28" s="534"/>
      <c r="K28" s="526"/>
      <c r="L28" s="516"/>
      <c r="M28" s="517"/>
      <c r="N28" s="524"/>
      <c r="O28" s="525"/>
      <c r="P28" s="535"/>
      <c r="Q28" s="536"/>
      <c r="R28" s="537"/>
      <c r="S28" s="507"/>
      <c r="T28" s="522">
        <f t="shared" si="0"/>
        <v>0</v>
      </c>
      <c r="U28" s="523"/>
      <c r="W28" s="508"/>
    </row>
    <row r="29" spans="1:23" s="538" customFormat="1" ht="15.95" customHeight="1" x14ac:dyDescent="0.2">
      <c r="A29" s="530"/>
      <c r="B29" s="539" t="s">
        <v>282</v>
      </c>
      <c r="C29" s="540" t="s">
        <v>283</v>
      </c>
      <c r="D29" s="511" t="e">
        <f>_ORÇAMENTO!#REF!</f>
        <v>#REF!</v>
      </c>
      <c r="E29" s="512">
        <f>Q29*1000</f>
        <v>4429.4087091274587</v>
      </c>
      <c r="F29" s="513">
        <f>W44</f>
        <v>0.26250000000000001</v>
      </c>
      <c r="G29" s="513">
        <f>L15</f>
        <v>0.1037</v>
      </c>
      <c r="H29" s="514">
        <f>(E29/(1-F29))*(1+G29)</f>
        <v>6628.7978200189491</v>
      </c>
      <c r="I29" s="515" t="e">
        <f>H29*D29</f>
        <v>#REF!</v>
      </c>
      <c r="J29" s="516">
        <v>142</v>
      </c>
      <c r="K29" s="513">
        <v>0.12</v>
      </c>
      <c r="L29" s="516">
        <f>VLOOKUP(B29,$B$41:$N$46,13,0)</f>
        <v>146.88114852272724</v>
      </c>
      <c r="M29" s="517" t="e">
        <f>D29*L29</f>
        <v>#REF!</v>
      </c>
      <c r="N29" s="518" t="e">
        <f>I29+M29</f>
        <v>#REF!</v>
      </c>
      <c r="O29" s="525"/>
      <c r="P29" s="520"/>
      <c r="Q29" s="521">
        <v>4.4294087091274585</v>
      </c>
      <c r="R29" s="505" t="s">
        <v>278</v>
      </c>
      <c r="S29" s="507" t="str">
        <f>B29</f>
        <v>REFAP - Canoas/RS</v>
      </c>
      <c r="T29" s="522">
        <f t="shared" si="0"/>
        <v>6005.9779106812994</v>
      </c>
      <c r="U29" s="523"/>
      <c r="W29" s="508"/>
    </row>
    <row r="30" spans="1:23" s="538" customFormat="1" ht="15.95" customHeight="1" x14ac:dyDescent="0.2">
      <c r="A30" s="530"/>
      <c r="B30" s="539" t="s">
        <v>284</v>
      </c>
      <c r="C30" s="540" t="s">
        <v>283</v>
      </c>
      <c r="D30" s="511" t="e">
        <f>D29</f>
        <v>#REF!</v>
      </c>
      <c r="E30" s="512">
        <f t="shared" ref="E30:E31" si="5">Q30*1000</f>
        <v>4451.9121844128749</v>
      </c>
      <c r="F30" s="513">
        <f>W45</f>
        <v>0.26250000000000001</v>
      </c>
      <c r="G30" s="513">
        <f>L15</f>
        <v>0.1037</v>
      </c>
      <c r="H30" s="514">
        <f t="shared" ref="H30:H31" si="6">(E30/(1-F30))*(1+G30)</f>
        <v>6662.4752243206631</v>
      </c>
      <c r="I30" s="515" t="e">
        <f>H30*D30</f>
        <v>#REF!</v>
      </c>
      <c r="J30" s="516">
        <v>728</v>
      </c>
      <c r="K30" s="513">
        <v>0.12</v>
      </c>
      <c r="L30" s="516">
        <f>VLOOKUP(B30,$B$41:$N$46,13,0)</f>
        <v>484.96452579545451</v>
      </c>
      <c r="M30" s="517" t="e">
        <f>D30*L30</f>
        <v>#REF!</v>
      </c>
      <c r="N30" s="524" t="e">
        <f>I30+M30</f>
        <v>#REF!</v>
      </c>
      <c r="O30" s="525"/>
      <c r="P30" s="520"/>
      <c r="Q30" s="521">
        <v>4.4519121844128753</v>
      </c>
      <c r="R30" s="505" t="s">
        <v>285</v>
      </c>
      <c r="S30" s="507" t="str">
        <f>B30</f>
        <v>REPAR - Araucária/PR</v>
      </c>
      <c r="T30" s="522">
        <f t="shared" si="0"/>
        <v>6036.4910975089824</v>
      </c>
      <c r="U30" s="523"/>
      <c r="W30" s="508"/>
    </row>
    <row r="31" spans="1:23" s="538" customFormat="1" ht="15.95" customHeight="1" x14ac:dyDescent="0.2">
      <c r="A31" s="530"/>
      <c r="B31" s="539" t="s">
        <v>286</v>
      </c>
      <c r="C31" s="540" t="s">
        <v>283</v>
      </c>
      <c r="D31" s="511" t="e">
        <f>D29</f>
        <v>#REF!</v>
      </c>
      <c r="E31" s="512">
        <f t="shared" si="5"/>
        <v>4474.0107981106567</v>
      </c>
      <c r="F31" s="513">
        <f>W46</f>
        <v>0.26250000000000001</v>
      </c>
      <c r="G31" s="513">
        <f>L15</f>
        <v>0.1037</v>
      </c>
      <c r="H31" s="514">
        <f t="shared" si="6"/>
        <v>6695.5467361013307</v>
      </c>
      <c r="I31" s="515" t="e">
        <f>H31*D31</f>
        <v>#REF!</v>
      </c>
      <c r="J31" s="516">
        <v>1274</v>
      </c>
      <c r="K31" s="513">
        <v>0.12</v>
      </c>
      <c r="L31" s="516">
        <f>VLOOKUP(B31,$B$41:$N$46,13,0)</f>
        <v>796.5089348863637</v>
      </c>
      <c r="M31" s="517" t="e">
        <f>D31*L31</f>
        <v>#REF!</v>
      </c>
      <c r="N31" s="524" t="e">
        <f>I31+M31</f>
        <v>#REF!</v>
      </c>
      <c r="O31" s="525"/>
      <c r="P31" s="520"/>
      <c r="Q31" s="521">
        <v>4.4740107981106565</v>
      </c>
      <c r="R31" s="505" t="s">
        <v>287</v>
      </c>
      <c r="S31" s="507" t="str">
        <f>B31</f>
        <v>REPLAN - Paulínea/SP</v>
      </c>
      <c r="T31" s="522">
        <f t="shared" si="0"/>
        <v>6066.4553194720766</v>
      </c>
      <c r="U31" s="523"/>
      <c r="W31" s="508"/>
    </row>
    <row r="32" spans="1:23" s="538" customFormat="1" ht="12" customHeight="1" x14ac:dyDescent="0.2">
      <c r="A32" s="530"/>
      <c r="B32" s="531"/>
      <c r="C32" s="532"/>
      <c r="D32" s="533"/>
      <c r="E32" s="527"/>
      <c r="F32" s="526"/>
      <c r="G32" s="526"/>
      <c r="H32" s="522"/>
      <c r="I32" s="512"/>
      <c r="J32" s="534"/>
      <c r="K32" s="526"/>
      <c r="L32" s="516"/>
      <c r="M32" s="517"/>
      <c r="N32" s="524"/>
      <c r="O32" s="525"/>
      <c r="P32" s="535"/>
      <c r="Q32" s="536"/>
      <c r="R32" s="505"/>
      <c r="S32" s="507"/>
      <c r="T32" s="522">
        <f t="shared" si="0"/>
        <v>0</v>
      </c>
      <c r="U32" s="523"/>
      <c r="W32" s="508"/>
    </row>
    <row r="33" spans="1:23" s="507" customFormat="1" ht="15.95" customHeight="1" x14ac:dyDescent="0.2">
      <c r="A33" s="499"/>
      <c r="B33" s="509" t="s">
        <v>276</v>
      </c>
      <c r="C33" s="510" t="s">
        <v>305</v>
      </c>
      <c r="D33" s="511" t="e">
        <f>_ORÇAMENTO!F25+_ORÇAMENTO!#REF!</f>
        <v>#REF!</v>
      </c>
      <c r="E33" s="512">
        <f>Q33*1000</f>
        <v>5420.3822307575747</v>
      </c>
      <c r="F33" s="513">
        <f>$W$44</f>
        <v>0.26250000000000001</v>
      </c>
      <c r="G33" s="513">
        <f>L15</f>
        <v>0.1037</v>
      </c>
      <c r="H33" s="514">
        <f>(E33/(1-F33))*(1+G33)</f>
        <v>8111.8316855418771</v>
      </c>
      <c r="I33" s="515" t="e">
        <f>H33*D33</f>
        <v>#REF!</v>
      </c>
      <c r="J33" s="516">
        <v>105</v>
      </c>
      <c r="K33" s="513">
        <v>0.12</v>
      </c>
      <c r="L33" s="516">
        <f>VLOOKUP(B33,$B$41:$N$46,13,0)</f>
        <v>125.53458715909092</v>
      </c>
      <c r="M33" s="517" t="e">
        <f>D33*L33</f>
        <v>#REF!</v>
      </c>
      <c r="N33" s="518" t="e">
        <f>I33+M33</f>
        <v>#REF!</v>
      </c>
      <c r="O33" s="525"/>
      <c r="P33" s="520"/>
      <c r="Q33" s="521">
        <v>5.4203822307575749</v>
      </c>
      <c r="R33" s="505" t="s">
        <v>281</v>
      </c>
      <c r="S33" s="507" t="str">
        <f>B33</f>
        <v>Betunel - Montenegro/RS</v>
      </c>
      <c r="T33" s="522">
        <f t="shared" si="0"/>
        <v>7349.6708213662023</v>
      </c>
      <c r="U33" s="523"/>
      <c r="W33" s="508"/>
    </row>
    <row r="34" spans="1:23" s="507" customFormat="1" ht="15.95" customHeight="1" x14ac:dyDescent="0.2">
      <c r="A34" s="499"/>
      <c r="B34" s="509" t="s">
        <v>279</v>
      </c>
      <c r="C34" s="510" t="s">
        <v>305</v>
      </c>
      <c r="D34" s="511" t="e">
        <f>D33</f>
        <v>#REF!</v>
      </c>
      <c r="E34" s="512">
        <f t="shared" ref="E34:E35" si="7">Q34*1000</f>
        <v>5420.3822307575747</v>
      </c>
      <c r="F34" s="513">
        <f>$W$44</f>
        <v>0.26250000000000001</v>
      </c>
      <c r="G34" s="513">
        <f>L15</f>
        <v>0.1037</v>
      </c>
      <c r="H34" s="514">
        <f t="shared" ref="H34:H35" si="8">(E34/(1-F34))*(1+G34)</f>
        <v>8111.8316855418771</v>
      </c>
      <c r="I34" s="515" t="e">
        <f>H34*D34</f>
        <v>#REF!</v>
      </c>
      <c r="J34" s="516">
        <v>143</v>
      </c>
      <c r="K34" s="513">
        <v>0.12</v>
      </c>
      <c r="L34" s="516">
        <f>VLOOKUP(B34,$B$41:$N$46,13,0)</f>
        <v>147.45808261363635</v>
      </c>
      <c r="M34" s="517" t="e">
        <f>D34*L34</f>
        <v>#REF!</v>
      </c>
      <c r="N34" s="524" t="e">
        <f>I34+M34</f>
        <v>#REF!</v>
      </c>
      <c r="O34" s="525"/>
      <c r="P34" s="520"/>
      <c r="Q34" s="521">
        <v>5.4203822307575749</v>
      </c>
      <c r="R34" s="505" t="s">
        <v>281</v>
      </c>
      <c r="S34" s="507" t="str">
        <f>B34</f>
        <v>Greca - Esteio/RS</v>
      </c>
      <c r="T34" s="522">
        <f t="shared" si="0"/>
        <v>7349.6708213662023</v>
      </c>
      <c r="U34" s="523"/>
      <c r="W34" s="508"/>
    </row>
    <row r="35" spans="1:23" s="507" customFormat="1" ht="15.95" customHeight="1" x14ac:dyDescent="0.2">
      <c r="A35" s="499"/>
      <c r="B35" s="509" t="s">
        <v>280</v>
      </c>
      <c r="C35" s="510" t="s">
        <v>305</v>
      </c>
      <c r="D35" s="511" t="e">
        <f>D33</f>
        <v>#REF!</v>
      </c>
      <c r="E35" s="512">
        <f t="shared" si="7"/>
        <v>5420.3822307575747</v>
      </c>
      <c r="F35" s="513">
        <f>$W$44</f>
        <v>0.26250000000000001</v>
      </c>
      <c r="G35" s="513">
        <f>L15</f>
        <v>0.1037</v>
      </c>
      <c r="H35" s="514">
        <f t="shared" si="8"/>
        <v>8111.8316855418771</v>
      </c>
      <c r="I35" s="515" t="e">
        <f>H35*D35</f>
        <v>#REF!</v>
      </c>
      <c r="J35" s="516">
        <v>144</v>
      </c>
      <c r="K35" s="513">
        <v>0.12</v>
      </c>
      <c r="L35" s="516">
        <f>VLOOKUP(B35,$B$41:$N$46,13,0)</f>
        <v>148.03501670454546</v>
      </c>
      <c r="M35" s="517" t="e">
        <f>D35*L35</f>
        <v>#REF!</v>
      </c>
      <c r="N35" s="524" t="e">
        <f>I35+M35</f>
        <v>#REF!</v>
      </c>
      <c r="O35" s="525"/>
      <c r="P35" s="520"/>
      <c r="Q35" s="521">
        <v>5.4203822307575749</v>
      </c>
      <c r="R35" s="505" t="s">
        <v>281</v>
      </c>
      <c r="S35" s="507" t="str">
        <f>B35</f>
        <v>Stratura - Canoas/RS</v>
      </c>
      <c r="T35" s="522">
        <f t="shared" si="0"/>
        <v>7349.6708213662023</v>
      </c>
      <c r="U35" s="523"/>
      <c r="W35" s="508"/>
    </row>
    <row r="36" spans="1:23" s="507" customFormat="1" ht="12" customHeight="1" x14ac:dyDescent="0.2">
      <c r="A36" s="499"/>
      <c r="B36" s="541"/>
      <c r="C36" s="542"/>
      <c r="D36" s="543"/>
      <c r="E36" s="544"/>
      <c r="F36" s="545"/>
      <c r="G36" s="545"/>
      <c r="H36" s="546"/>
      <c r="I36" s="547"/>
      <c r="J36" s="548"/>
      <c r="K36" s="545"/>
      <c r="L36" s="549"/>
      <c r="M36" s="550"/>
      <c r="N36" s="551"/>
      <c r="O36" s="525"/>
      <c r="P36" s="535"/>
      <c r="Q36" s="536"/>
      <c r="R36" s="505"/>
      <c r="T36" s="522">
        <f t="shared" si="0"/>
        <v>0</v>
      </c>
      <c r="U36" s="523"/>
      <c r="W36" s="508"/>
    </row>
    <row r="37" spans="1:23" s="507" customFormat="1" ht="15.95" customHeight="1" x14ac:dyDescent="0.2">
      <c r="A37" s="499"/>
      <c r="B37" s="911" t="s">
        <v>288</v>
      </c>
      <c r="C37" s="912"/>
      <c r="D37" s="912"/>
      <c r="E37" s="912"/>
      <c r="F37" s="912"/>
      <c r="G37" s="912"/>
      <c r="H37" s="912"/>
      <c r="I37" s="912"/>
      <c r="J37" s="912"/>
      <c r="K37" s="912"/>
      <c r="L37" s="912"/>
      <c r="M37" s="912"/>
      <c r="N37" s="913"/>
      <c r="O37" s="525"/>
      <c r="P37" s="537"/>
      <c r="Q37" s="536"/>
      <c r="R37" s="537"/>
      <c r="S37" s="538"/>
      <c r="T37" s="537"/>
      <c r="U37" s="552"/>
      <c r="W37" s="508"/>
    </row>
    <row r="38" spans="1:23" s="556" customFormat="1" ht="15.95" customHeight="1" x14ac:dyDescent="0.2">
      <c r="A38" s="553"/>
      <c r="B38" s="918" t="s">
        <v>289</v>
      </c>
      <c r="C38" s="919"/>
      <c r="D38" s="919"/>
      <c r="E38" s="919"/>
      <c r="F38" s="919"/>
      <c r="G38" s="919"/>
      <c r="H38" s="919"/>
      <c r="I38" s="919"/>
      <c r="J38" s="919"/>
      <c r="K38" s="919"/>
      <c r="L38" s="919"/>
      <c r="M38" s="919"/>
      <c r="N38" s="920"/>
      <c r="O38" s="478"/>
      <c r="P38" s="477"/>
      <c r="Q38" s="554"/>
      <c r="R38" s="477"/>
      <c r="S38" s="477"/>
      <c r="T38" s="477"/>
      <c r="U38" s="555"/>
    </row>
    <row r="39" spans="1:23" s="537" customFormat="1" ht="15.95" customHeight="1" x14ac:dyDescent="0.2">
      <c r="A39" s="525"/>
      <c r="B39" s="914" t="s">
        <v>257</v>
      </c>
      <c r="C39" s="557" t="s">
        <v>290</v>
      </c>
      <c r="D39" s="916" t="s">
        <v>290</v>
      </c>
      <c r="E39" s="917"/>
      <c r="F39" s="906" t="s">
        <v>291</v>
      </c>
      <c r="G39" s="906" t="s">
        <v>292</v>
      </c>
      <c r="H39" s="906" t="s">
        <v>293</v>
      </c>
      <c r="I39" s="906" t="s">
        <v>294</v>
      </c>
      <c r="J39" s="906" t="s">
        <v>295</v>
      </c>
      <c r="K39" s="906" t="s">
        <v>296</v>
      </c>
      <c r="L39" s="906" t="s">
        <v>297</v>
      </c>
      <c r="M39" s="906" t="s">
        <v>298</v>
      </c>
      <c r="N39" s="558" t="s">
        <v>266</v>
      </c>
      <c r="O39" s="559"/>
      <c r="P39" s="560"/>
      <c r="Q39" s="560"/>
      <c r="R39" s="537" t="s">
        <v>308</v>
      </c>
      <c r="S39" s="560"/>
      <c r="T39" s="560"/>
      <c r="U39" s="560"/>
    </row>
    <row r="40" spans="1:23" s="537" customFormat="1" ht="15.95" customHeight="1" thickBot="1" x14ac:dyDescent="0.25">
      <c r="A40" s="525"/>
      <c r="B40" s="915"/>
      <c r="C40" s="561">
        <v>41821</v>
      </c>
      <c r="D40" s="908">
        <v>44652</v>
      </c>
      <c r="E40" s="909"/>
      <c r="F40" s="907"/>
      <c r="G40" s="907"/>
      <c r="H40" s="907"/>
      <c r="I40" s="907"/>
      <c r="J40" s="907"/>
      <c r="K40" s="907"/>
      <c r="L40" s="907"/>
      <c r="M40" s="907"/>
      <c r="N40" s="562" t="s">
        <v>270</v>
      </c>
      <c r="O40" s="559"/>
      <c r="P40" s="560"/>
      <c r="Q40" s="560"/>
      <c r="R40" s="560"/>
      <c r="S40" s="560"/>
      <c r="T40" s="560"/>
      <c r="U40" s="560"/>
    </row>
    <row r="41" spans="1:23" s="537" customFormat="1" ht="15.95" customHeight="1" x14ac:dyDescent="0.2">
      <c r="A41" s="525"/>
      <c r="B41" s="563" t="s">
        <v>282</v>
      </c>
      <c r="C41" s="564">
        <v>270.23700000000002</v>
      </c>
      <c r="D41" s="904">
        <v>491.87</v>
      </c>
      <c r="E41" s="905"/>
      <c r="F41" s="565">
        <f t="shared" ref="F41:F46" si="9">TRUNC((D41-C41)/C41,4)</f>
        <v>0.82010000000000005</v>
      </c>
      <c r="G41" s="566">
        <f t="shared" ref="G41:G46" si="10">TRUNC(0.253*(1+F41),3)</f>
        <v>0.46</v>
      </c>
      <c r="H41" s="567">
        <f t="shared" ref="H41:H46" si="11">TRUNC(26.939*(1+F41),3)</f>
        <v>49.030999999999999</v>
      </c>
      <c r="I41" s="568">
        <v>148</v>
      </c>
      <c r="J41" s="569">
        <f>(H41+(G41*I41))</f>
        <v>117.11099999999999</v>
      </c>
      <c r="K41" s="569">
        <v>12</v>
      </c>
      <c r="L41" s="569">
        <f t="shared" ref="L41:L46" si="12">J41/((1-K41/100))</f>
        <v>133.0806818181818</v>
      </c>
      <c r="M41" s="569">
        <f t="shared" ref="M41:M46" si="13">L41*($L$15)</f>
        <v>13.800466704545453</v>
      </c>
      <c r="N41" s="569">
        <f>M41+L41</f>
        <v>146.88114852272724</v>
      </c>
      <c r="O41" s="478"/>
      <c r="P41" s="477"/>
      <c r="Q41" s="554"/>
      <c r="R41" s="894" t="s">
        <v>299</v>
      </c>
      <c r="S41" s="895"/>
      <c r="T41" s="895"/>
      <c r="U41" s="895"/>
      <c r="V41" s="895"/>
      <c r="W41" s="896"/>
    </row>
    <row r="42" spans="1:23" ht="15.95" customHeight="1" x14ac:dyDescent="0.2">
      <c r="B42" s="509" t="s">
        <v>284</v>
      </c>
      <c r="C42" s="570">
        <v>270.23700000000002</v>
      </c>
      <c r="D42" s="900">
        <v>491.87</v>
      </c>
      <c r="E42" s="901"/>
      <c r="F42" s="571">
        <f t="shared" si="9"/>
        <v>0.82010000000000005</v>
      </c>
      <c r="G42" s="572">
        <f t="shared" si="10"/>
        <v>0.46</v>
      </c>
      <c r="H42" s="573">
        <f t="shared" si="11"/>
        <v>49.030999999999999</v>
      </c>
      <c r="I42" s="574">
        <v>734</v>
      </c>
      <c r="J42" s="575">
        <f t="shared" ref="J42:J45" si="14">(H42+(G42*I42))</f>
        <v>386.67099999999999</v>
      </c>
      <c r="K42" s="575">
        <v>12</v>
      </c>
      <c r="L42" s="575">
        <f t="shared" si="12"/>
        <v>439.39886363636361</v>
      </c>
      <c r="M42" s="575">
        <f t="shared" si="13"/>
        <v>45.565662159090905</v>
      </c>
      <c r="N42" s="575">
        <f>M42+L42</f>
        <v>484.96452579545451</v>
      </c>
      <c r="R42" s="897"/>
      <c r="S42" s="898"/>
      <c r="T42" s="898"/>
      <c r="U42" s="898"/>
      <c r="V42" s="898"/>
      <c r="W42" s="899"/>
    </row>
    <row r="43" spans="1:23" s="560" customFormat="1" ht="15.95" customHeight="1" x14ac:dyDescent="0.2">
      <c r="A43" s="559"/>
      <c r="B43" s="576" t="s">
        <v>286</v>
      </c>
      <c r="C43" s="577">
        <v>270.23700000000002</v>
      </c>
      <c r="D43" s="902">
        <v>491.87</v>
      </c>
      <c r="E43" s="903"/>
      <c r="F43" s="578">
        <f t="shared" si="9"/>
        <v>0.82010000000000005</v>
      </c>
      <c r="G43" s="579">
        <f t="shared" si="10"/>
        <v>0.46</v>
      </c>
      <c r="H43" s="580">
        <f t="shared" si="11"/>
        <v>49.030999999999999</v>
      </c>
      <c r="I43" s="581">
        <v>1274</v>
      </c>
      <c r="J43" s="582">
        <f t="shared" si="14"/>
        <v>635.07100000000003</v>
      </c>
      <c r="K43" s="582">
        <v>12</v>
      </c>
      <c r="L43" s="582">
        <f t="shared" si="12"/>
        <v>721.67159090909092</v>
      </c>
      <c r="M43" s="582">
        <f t="shared" si="13"/>
        <v>74.837343977272724</v>
      </c>
      <c r="N43" s="582">
        <f t="shared" ref="N43:N46" si="15">M43+L43</f>
        <v>796.5089348863637</v>
      </c>
      <c r="O43" s="478"/>
      <c r="P43" s="477"/>
      <c r="Q43" s="554"/>
      <c r="R43" s="583" t="s">
        <v>91</v>
      </c>
      <c r="S43" s="584" t="s">
        <v>92</v>
      </c>
      <c r="T43" s="584" t="s">
        <v>300</v>
      </c>
      <c r="U43" s="584" t="s">
        <v>301</v>
      </c>
      <c r="V43" s="584" t="s">
        <v>18</v>
      </c>
      <c r="W43" s="585" t="s">
        <v>48</v>
      </c>
    </row>
    <row r="44" spans="1:23" s="560" customFormat="1" ht="15.95" customHeight="1" x14ac:dyDescent="0.2">
      <c r="A44" s="559"/>
      <c r="B44" s="563" t="s">
        <v>276</v>
      </c>
      <c r="C44" s="564">
        <v>270.23700000000002</v>
      </c>
      <c r="D44" s="904">
        <v>491.87</v>
      </c>
      <c r="E44" s="905"/>
      <c r="F44" s="565">
        <f t="shared" si="9"/>
        <v>0.82010000000000005</v>
      </c>
      <c r="G44" s="566">
        <f t="shared" si="10"/>
        <v>0.46</v>
      </c>
      <c r="H44" s="567">
        <f t="shared" si="11"/>
        <v>49.030999999999999</v>
      </c>
      <c r="I44" s="568">
        <v>111</v>
      </c>
      <c r="J44" s="569">
        <f>(H44+(G44*I44))</f>
        <v>100.09100000000001</v>
      </c>
      <c r="K44" s="569">
        <v>12</v>
      </c>
      <c r="L44" s="569">
        <f t="shared" si="12"/>
        <v>113.73977272727274</v>
      </c>
      <c r="M44" s="569">
        <f t="shared" si="13"/>
        <v>11.794814431818184</v>
      </c>
      <c r="N44" s="569">
        <f t="shared" si="15"/>
        <v>125.53458715909092</v>
      </c>
      <c r="O44" s="478"/>
      <c r="P44" s="477"/>
      <c r="Q44" s="554"/>
      <c r="R44" s="586" t="s">
        <v>302</v>
      </c>
      <c r="S44" s="587" t="s">
        <v>302</v>
      </c>
      <c r="T44" s="587">
        <v>17</v>
      </c>
      <c r="U44" s="587">
        <v>1.65</v>
      </c>
      <c r="V44" s="587">
        <v>7.6</v>
      </c>
      <c r="W44" s="588">
        <f>(T44+U44+V44)/100</f>
        <v>0.26250000000000001</v>
      </c>
    </row>
    <row r="45" spans="1:23" ht="15.95" customHeight="1" x14ac:dyDescent="0.2">
      <c r="B45" s="509" t="s">
        <v>279</v>
      </c>
      <c r="C45" s="570">
        <v>270.23700000000002</v>
      </c>
      <c r="D45" s="900">
        <v>491.87</v>
      </c>
      <c r="E45" s="901"/>
      <c r="F45" s="571">
        <f t="shared" si="9"/>
        <v>0.82010000000000005</v>
      </c>
      <c r="G45" s="572">
        <f t="shared" si="10"/>
        <v>0.46</v>
      </c>
      <c r="H45" s="573">
        <f t="shared" si="11"/>
        <v>49.030999999999999</v>
      </c>
      <c r="I45" s="574">
        <v>149</v>
      </c>
      <c r="J45" s="575">
        <f t="shared" si="14"/>
        <v>117.571</v>
      </c>
      <c r="K45" s="575">
        <v>12</v>
      </c>
      <c r="L45" s="575">
        <f t="shared" si="12"/>
        <v>133.60340909090908</v>
      </c>
      <c r="M45" s="575">
        <f t="shared" si="13"/>
        <v>13.854673522727271</v>
      </c>
      <c r="N45" s="575">
        <f t="shared" si="15"/>
        <v>147.45808261363635</v>
      </c>
      <c r="R45" s="586" t="s">
        <v>303</v>
      </c>
      <c r="S45" s="587" t="s">
        <v>302</v>
      </c>
      <c r="T45" s="587">
        <v>17</v>
      </c>
      <c r="U45" s="587">
        <v>1.65</v>
      </c>
      <c r="V45" s="587">
        <v>7.6</v>
      </c>
      <c r="W45" s="588">
        <f>(T45+U45+V45)/100</f>
        <v>0.26250000000000001</v>
      </c>
    </row>
    <row r="46" spans="1:23" ht="15.95" customHeight="1" x14ac:dyDescent="0.2">
      <c r="B46" s="576" t="s">
        <v>280</v>
      </c>
      <c r="C46" s="577">
        <v>270.23700000000002</v>
      </c>
      <c r="D46" s="902">
        <v>491.87</v>
      </c>
      <c r="E46" s="903"/>
      <c r="F46" s="578">
        <f t="shared" si="9"/>
        <v>0.82010000000000005</v>
      </c>
      <c r="G46" s="579">
        <f t="shared" si="10"/>
        <v>0.46</v>
      </c>
      <c r="H46" s="580">
        <f t="shared" si="11"/>
        <v>49.030999999999999</v>
      </c>
      <c r="I46" s="581">
        <v>150</v>
      </c>
      <c r="J46" s="582">
        <f>(H46+(G46*I46))</f>
        <v>118.03100000000001</v>
      </c>
      <c r="K46" s="582">
        <v>12</v>
      </c>
      <c r="L46" s="582">
        <f t="shared" si="12"/>
        <v>134.12613636363636</v>
      </c>
      <c r="M46" s="582">
        <f t="shared" si="13"/>
        <v>13.908880340909091</v>
      </c>
      <c r="N46" s="582">
        <f t="shared" si="15"/>
        <v>148.03501670454546</v>
      </c>
      <c r="R46" s="586" t="s">
        <v>304</v>
      </c>
      <c r="S46" s="587" t="s">
        <v>302</v>
      </c>
      <c r="T46" s="587">
        <v>17</v>
      </c>
      <c r="U46" s="587">
        <v>1.65</v>
      </c>
      <c r="V46" s="587">
        <v>7.6</v>
      </c>
      <c r="W46" s="588">
        <f>(T46+U46+V46)/100</f>
        <v>0.26250000000000001</v>
      </c>
    </row>
    <row r="47" spans="1:23" ht="15" customHeight="1" x14ac:dyDescent="0.2">
      <c r="R47" s="591"/>
      <c r="S47" s="482"/>
      <c r="T47" s="482"/>
      <c r="U47" s="592"/>
      <c r="V47" s="482"/>
      <c r="W47" s="593"/>
    </row>
    <row r="48" spans="1:23" ht="15" customHeight="1" x14ac:dyDescent="0.2">
      <c r="R48" s="591"/>
      <c r="S48" s="482"/>
      <c r="T48" s="482"/>
      <c r="U48" s="592"/>
      <c r="V48" s="482"/>
      <c r="W48" s="593"/>
    </row>
    <row r="49" spans="18:23" ht="15" customHeight="1" x14ac:dyDescent="0.2">
      <c r="R49" s="591"/>
      <c r="S49" s="482"/>
      <c r="T49" s="482"/>
      <c r="U49" s="592"/>
      <c r="V49" s="482"/>
      <c r="W49" s="593"/>
    </row>
    <row r="50" spans="18:23" ht="15" customHeight="1" x14ac:dyDescent="0.2">
      <c r="R50" s="591"/>
      <c r="S50" s="482"/>
      <c r="T50" s="482"/>
      <c r="U50" s="592"/>
      <c r="V50" s="482"/>
      <c r="W50" s="593"/>
    </row>
    <row r="51" spans="18:23" x14ac:dyDescent="0.2">
      <c r="R51" s="591"/>
      <c r="S51" s="482"/>
      <c r="T51" s="482"/>
      <c r="U51" s="592"/>
      <c r="V51" s="482"/>
      <c r="W51" s="593"/>
    </row>
    <row r="52" spans="18:23" x14ac:dyDescent="0.2">
      <c r="R52" s="591"/>
      <c r="S52" s="482"/>
      <c r="T52" s="482"/>
      <c r="U52" s="592"/>
      <c r="V52" s="482"/>
      <c r="W52" s="593"/>
    </row>
    <row r="53" spans="18:23" ht="15" thickBot="1" x14ac:dyDescent="0.25">
      <c r="R53" s="594"/>
      <c r="S53" s="595"/>
      <c r="T53" s="595"/>
      <c r="U53" s="596"/>
      <c r="V53" s="595"/>
      <c r="W53" s="597"/>
    </row>
    <row r="102" spans="3:22" x14ac:dyDescent="0.2">
      <c r="C102" s="477"/>
      <c r="D102" s="589"/>
      <c r="E102" s="590"/>
      <c r="Q102" s="477"/>
      <c r="R102" s="554"/>
      <c r="U102" s="477"/>
      <c r="V102" s="555"/>
    </row>
  </sheetData>
  <mergeCells count="30">
    <mergeCell ref="C8:H8"/>
    <mergeCell ref="B10:N10"/>
    <mergeCell ref="B18:B19"/>
    <mergeCell ref="C18:C19"/>
    <mergeCell ref="B3:H3"/>
    <mergeCell ref="B4:M4"/>
    <mergeCell ref="B5:H5"/>
    <mergeCell ref="B6:M6"/>
    <mergeCell ref="B7:H7"/>
    <mergeCell ref="T20:V20"/>
    <mergeCell ref="B37:N37"/>
    <mergeCell ref="B39:B40"/>
    <mergeCell ref="D39:E39"/>
    <mergeCell ref="F39:F40"/>
    <mergeCell ref="G39:G40"/>
    <mergeCell ref="H39:H40"/>
    <mergeCell ref="B38:N38"/>
    <mergeCell ref="M39:M40"/>
    <mergeCell ref="D46:E46"/>
    <mergeCell ref="J39:J40"/>
    <mergeCell ref="K39:K40"/>
    <mergeCell ref="L39:L40"/>
    <mergeCell ref="D40:E40"/>
    <mergeCell ref="D41:E41"/>
    <mergeCell ref="I39:I40"/>
    <mergeCell ref="R41:W42"/>
    <mergeCell ref="D42:E42"/>
    <mergeCell ref="D43:E43"/>
    <mergeCell ref="D44:E44"/>
    <mergeCell ref="D45:E45"/>
  </mergeCells>
  <printOptions horizontalCentered="1"/>
  <pageMargins left="0.39370078740157483" right="0.39370078740157483" top="0.51181102362204722" bottom="0.51181102362204722" header="0.39370078740157483" footer="0.39370078740157483"/>
  <pageSetup paperSize="9" scale="71" firstPageNumber="255" fitToHeight="0" orientation="landscape" useFirstPageNumber="1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11</vt:i4>
      </vt:variant>
    </vt:vector>
  </HeadingPairs>
  <TitlesOfParts>
    <vt:vector size="23" baseType="lpstr">
      <vt:lpstr>CAPA</vt:lpstr>
      <vt:lpstr>MAPA</vt:lpstr>
      <vt:lpstr>_RESUMO</vt:lpstr>
      <vt:lpstr>_ORÇAMENTO</vt:lpstr>
      <vt:lpstr>FIT</vt:lpstr>
      <vt:lpstr>BDI</vt:lpstr>
      <vt:lpstr>CPUs</vt:lpstr>
      <vt:lpstr>Cotações</vt:lpstr>
      <vt:lpstr>Mat Betuminosos</vt:lpstr>
      <vt:lpstr>ÍNDICES</vt:lpstr>
      <vt:lpstr>EquiRS042022</vt:lpstr>
      <vt:lpstr>MaoRS042022</vt:lpstr>
      <vt:lpstr>_ORÇAMENTO!Area_de_impressao</vt:lpstr>
      <vt:lpstr>_RESUMO!Area_de_impressao</vt:lpstr>
      <vt:lpstr>BDI!Area_de_impressao</vt:lpstr>
      <vt:lpstr>CAPA!Area_de_impressao</vt:lpstr>
      <vt:lpstr>Cotações!Area_de_impressao</vt:lpstr>
      <vt:lpstr>FIT!Area_de_impressao</vt:lpstr>
      <vt:lpstr>ÍNDICES!Area_de_impressao</vt:lpstr>
      <vt:lpstr>MAPA!Area_de_impressao</vt:lpstr>
      <vt:lpstr>'Mat Betuminosos'!Area_de_impressao</vt:lpstr>
      <vt:lpstr>EquiRS042022!Titulos_de_impressao</vt:lpstr>
      <vt:lpstr>MaoRS042022!Titulos_de_impressao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Deise Favero</dc:creator>
  <cp:lastModifiedBy>Diego Guedes Madeira</cp:lastModifiedBy>
  <cp:lastPrinted>2023-01-16T21:09:04Z</cp:lastPrinted>
  <dcterms:created xsi:type="dcterms:W3CDTF">2021-08-17T13:55:36Z</dcterms:created>
  <dcterms:modified xsi:type="dcterms:W3CDTF">2023-01-16T21:14:48Z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45910b6-60c5-46ad-bb86-335627448cd2_Enabled">
    <vt:lpwstr>True</vt:lpwstr>
  </property>
  <property fmtid="{D5CDD505-2E9C-101B-9397-08002B2CF9AE}" pid="3" name="MSIP_Label_b45910b6-60c5-46ad-bb86-335627448cd2_SiteId">
    <vt:lpwstr>d233d58a-9973-43a7-af69-6763630548a0</vt:lpwstr>
  </property>
  <property fmtid="{D5CDD505-2E9C-101B-9397-08002B2CF9AE}" pid="4" name="MSIP_Label_b45910b6-60c5-46ad-bb86-335627448cd2_Owner">
    <vt:lpwstr>eduardo.meirelles@grupoccr.com.br</vt:lpwstr>
  </property>
  <property fmtid="{D5CDD505-2E9C-101B-9397-08002B2CF9AE}" pid="5" name="MSIP_Label_b45910b6-60c5-46ad-bb86-335627448cd2_SetDate">
    <vt:lpwstr>2021-09-02T02:33:17.2968610Z</vt:lpwstr>
  </property>
  <property fmtid="{D5CDD505-2E9C-101B-9397-08002B2CF9AE}" pid="6" name="MSIP_Label_b45910b6-60c5-46ad-bb86-335627448cd2_Name">
    <vt:lpwstr>INTERNA</vt:lpwstr>
  </property>
  <property fmtid="{D5CDD505-2E9C-101B-9397-08002B2CF9AE}" pid="7" name="MSIP_Label_b45910b6-60c5-46ad-bb86-335627448cd2_Application">
    <vt:lpwstr>Microsoft Azure Information Protection</vt:lpwstr>
  </property>
  <property fmtid="{D5CDD505-2E9C-101B-9397-08002B2CF9AE}" pid="8" name="MSIP_Label_b45910b6-60c5-46ad-bb86-335627448cd2_ActionId">
    <vt:lpwstr>ba5acc9c-b473-441b-97e3-72ae86f81034</vt:lpwstr>
  </property>
  <property fmtid="{D5CDD505-2E9C-101B-9397-08002B2CF9AE}" pid="9" name="MSIP_Label_b45910b6-60c5-46ad-bb86-335627448cd2_Extended_MSFT_Method">
    <vt:lpwstr>Automatic</vt:lpwstr>
  </property>
  <property fmtid="{D5CDD505-2E9C-101B-9397-08002B2CF9AE}" pid="10" name="Sensitivity">
    <vt:lpwstr>INTERNA</vt:lpwstr>
  </property>
</Properties>
</file>