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10"/>
  <workbookPr filterPrivacy="1" defaultThemeVersion="124226"/>
  <xr:revisionPtr revIDLastSave="3502" documentId="13_ncr:1_{6AFF0A7C-82CB-4689-B2F2-2D5029006F06}" xr6:coauthVersionLast="47" xr6:coauthVersionMax="47" xr10:uidLastSave="{E10CFC2B-C305-42DE-B3C9-4748D23C5A4A}"/>
  <bookViews>
    <workbookView xWindow="-120" yWindow="-120" windowWidth="29040" windowHeight="15840" activeTab="3" xr2:uid="{00000000-000D-0000-FFFF-FFFF00000000}"/>
  </bookViews>
  <sheets>
    <sheet name="Plan1" sheetId="1" r:id="rId1"/>
    <sheet name="RSM1" sheetId="4" r:id="rId2"/>
    <sheet name="RSM2" sheetId="2" r:id="rId3"/>
    <sheet name="RSM3" sheetId="3" r:id="rId4"/>
    <sheet name="CSG1" sheetId="5" r:id="rId5"/>
    <sheet name="CSG2" sheetId="6" r:id="rId6"/>
    <sheet name="CSG3" sheetId="7" r:id="rId7"/>
  </sheets>
  <definedNames>
    <definedName name="_xlnm._FilterDatabase" localSheetId="6" hidden="1">'CSG3'!$A$2:$U$2</definedName>
    <definedName name="_xlnm._FilterDatabase" localSheetId="5" hidden="1">'CSG2'!$A$2:$Q$2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8" i="1" l="1"/>
  <c r="AO66" i="1"/>
  <c r="AO64" i="1"/>
  <c r="AO63" i="1"/>
  <c r="AM68" i="1"/>
  <c r="AM64" i="1"/>
  <c r="AM63" i="1"/>
  <c r="AK68" i="1"/>
  <c r="AK64" i="1"/>
  <c r="AK63" i="1"/>
  <c r="AF68" i="1"/>
  <c r="AF66" i="1"/>
  <c r="AF64" i="1"/>
  <c r="AF63" i="1"/>
  <c r="AD68" i="1"/>
  <c r="AD64" i="1"/>
  <c r="AD63" i="1"/>
  <c r="AB68" i="1"/>
  <c r="AB64" i="1"/>
  <c r="AB63" i="1"/>
  <c r="AO54" i="1"/>
  <c r="AO52" i="1"/>
  <c r="AO50" i="1"/>
  <c r="AO49" i="1"/>
  <c r="AM54" i="1"/>
  <c r="AM50" i="1"/>
  <c r="AM49" i="1"/>
  <c r="AK54" i="1"/>
  <c r="AK50" i="1"/>
  <c r="AK49" i="1"/>
  <c r="AF54" i="1"/>
  <c r="AF52" i="1"/>
  <c r="AF50" i="1"/>
  <c r="AF49" i="1"/>
  <c r="AD54" i="1"/>
  <c r="AD50" i="1"/>
  <c r="AD49" i="1"/>
  <c r="AB54" i="1"/>
  <c r="AB50" i="1"/>
  <c r="AB49" i="1"/>
  <c r="AQ40" i="1"/>
  <c r="AQ38" i="1"/>
  <c r="AQ36" i="1"/>
  <c r="AQ35" i="1"/>
  <c r="AO40" i="1"/>
  <c r="AO35" i="1"/>
  <c r="AO36" i="1"/>
  <c r="AM40" i="1"/>
  <c r="AM36" i="1"/>
  <c r="AM35" i="1"/>
  <c r="AK35" i="1"/>
  <c r="AA40" i="1"/>
  <c r="AA38" i="1"/>
  <c r="AA36" i="1"/>
  <c r="AA35" i="1"/>
  <c r="Y40" i="1"/>
  <c r="Y36" i="1"/>
  <c r="Y35" i="1"/>
  <c r="W40" i="1"/>
  <c r="W36" i="1"/>
  <c r="W35" i="1"/>
  <c r="U35" i="1"/>
  <c r="L22" i="7"/>
  <c r="L21" i="7"/>
  <c r="L20" i="7"/>
  <c r="L18" i="7"/>
  <c r="L19" i="7"/>
  <c r="L17" i="7"/>
  <c r="M17" i="7"/>
  <c r="M18" i="7"/>
  <c r="M19" i="7"/>
  <c r="M20" i="7"/>
  <c r="M21" i="7"/>
  <c r="M22" i="7"/>
  <c r="O18" i="7"/>
  <c r="O19" i="7"/>
  <c r="O20" i="7"/>
  <c r="O21" i="7"/>
  <c r="O22" i="7"/>
  <c r="O17" i="7"/>
  <c r="Q18" i="7"/>
  <c r="Q19" i="7"/>
  <c r="Q20" i="7"/>
  <c r="Q21" i="7"/>
  <c r="Q22" i="7"/>
  <c r="Q17" i="7"/>
  <c r="Q12" i="7"/>
  <c r="Q13" i="7"/>
  <c r="Q14" i="7"/>
  <c r="Q15" i="7"/>
  <c r="Q16" i="7"/>
  <c r="Q11" i="7"/>
  <c r="Q6" i="7"/>
  <c r="Q7" i="7"/>
  <c r="Q8" i="7"/>
  <c r="Q9" i="7"/>
  <c r="Q10" i="7"/>
  <c r="M12" i="7"/>
  <c r="M13" i="7"/>
  <c r="M14" i="7"/>
  <c r="M15" i="7"/>
  <c r="M16" i="7"/>
  <c r="M11" i="7"/>
  <c r="M6" i="7"/>
  <c r="M7" i="7"/>
  <c r="M8" i="7"/>
  <c r="M9" i="7"/>
  <c r="M10" i="7"/>
  <c r="Q5" i="7"/>
  <c r="L5" i="7"/>
  <c r="L4" i="7"/>
  <c r="L3" i="7"/>
  <c r="AA23" i="1"/>
  <c r="AA22" i="1"/>
  <c r="AA18" i="1"/>
  <c r="AA17" i="1"/>
  <c r="Y23" i="1"/>
  <c r="Y22" i="1"/>
  <c r="Y20" i="1"/>
  <c r="Y18" i="1"/>
  <c r="Y17" i="1"/>
  <c r="W23" i="1"/>
  <c r="W18" i="1"/>
  <c r="W17" i="1"/>
  <c r="U18" i="1"/>
  <c r="U23" i="1"/>
  <c r="U17" i="1"/>
  <c r="S17" i="1"/>
  <c r="G8" i="3"/>
  <c r="L8" i="3"/>
  <c r="M8" i="3"/>
  <c r="M7" i="3"/>
  <c r="M6" i="3"/>
  <c r="M5" i="3"/>
  <c r="G7" i="3"/>
  <c r="J7" i="3"/>
  <c r="L7" i="3"/>
  <c r="G5" i="3"/>
  <c r="J8" i="3"/>
  <c r="M8" i="2"/>
  <c r="M5" i="7"/>
  <c r="H6" i="3"/>
  <c r="H7" i="3"/>
  <c r="H8" i="3"/>
  <c r="H5" i="3"/>
  <c r="AA29" i="1"/>
  <c r="AA28" i="1"/>
  <c r="AA34" i="1"/>
  <c r="Y34" i="1"/>
  <c r="W34" i="1"/>
  <c r="U34" i="1"/>
  <c r="AQ34" i="1"/>
  <c r="AO34" i="1"/>
  <c r="AM34" i="1"/>
  <c r="AK34" i="1"/>
  <c r="AF48" i="1"/>
  <c r="AD48" i="1"/>
  <c r="AB48" i="1"/>
  <c r="AO48" i="1"/>
  <c r="AM48" i="1"/>
  <c r="AK48" i="1"/>
  <c r="AO62" i="1"/>
  <c r="AM62" i="1"/>
  <c r="AK62" i="1"/>
  <c r="AF62" i="1"/>
  <c r="AD62" i="1"/>
  <c r="AB62" i="1"/>
  <c r="AO70" i="1"/>
  <c r="AF70" i="1"/>
  <c r="AO53" i="1"/>
  <c r="AO51" i="1"/>
  <c r="AO56" i="1"/>
  <c r="K18" i="7"/>
  <c r="AA11" i="1"/>
  <c r="Y11" i="1"/>
  <c r="W11" i="1"/>
  <c r="U11" i="1"/>
  <c r="S11" i="1"/>
  <c r="Q11" i="1"/>
  <c r="K22" i="7"/>
  <c r="K21" i="7"/>
  <c r="K20" i="7"/>
  <c r="K19" i="7"/>
  <c r="K17" i="7"/>
  <c r="G18" i="5"/>
  <c r="G19" i="5"/>
  <c r="G20" i="5"/>
  <c r="G21" i="5"/>
  <c r="G22" i="5"/>
  <c r="G17" i="5"/>
  <c r="N8" i="3"/>
  <c r="K8" i="3"/>
  <c r="I8" i="3"/>
  <c r="F8" i="3"/>
  <c r="L8" i="2"/>
  <c r="K8" i="2"/>
  <c r="J8" i="2"/>
  <c r="I8" i="2"/>
  <c r="H8" i="2"/>
  <c r="G8" i="2"/>
  <c r="H11" i="1"/>
  <c r="K5" i="7"/>
  <c r="K16" i="7"/>
  <c r="K15" i="7"/>
  <c r="K13" i="7"/>
  <c r="K14" i="7"/>
  <c r="K10" i="7"/>
  <c r="K9" i="7"/>
  <c r="K8" i="7"/>
  <c r="K7" i="7"/>
  <c r="K4" i="7"/>
  <c r="K11" i="7"/>
  <c r="K3" i="7"/>
  <c r="L13" i="7"/>
  <c r="L10" i="7"/>
  <c r="G4" i="3"/>
  <c r="S24" i="1"/>
  <c r="AA10" i="1"/>
  <c r="Y10" i="1"/>
  <c r="W10" i="1"/>
  <c r="U10" i="1"/>
  <c r="S10" i="1"/>
  <c r="S9" i="1"/>
  <c r="Q10" i="1"/>
  <c r="Q9" i="1"/>
  <c r="I23" i="1"/>
  <c r="H9" i="1"/>
  <c r="H10" i="1"/>
  <c r="H8" i="1"/>
  <c r="S3" i="7" l="1"/>
  <c r="L11" i="7"/>
  <c r="S4" i="7"/>
  <c r="K6" i="7"/>
  <c r="L7" i="7"/>
  <c r="L8" i="7"/>
  <c r="L9" i="7"/>
  <c r="L14" i="7"/>
  <c r="L15" i="7"/>
  <c r="L16" i="7"/>
  <c r="G6" i="3"/>
  <c r="AK42" i="1"/>
  <c r="L6" i="7" l="1"/>
  <c r="K12" i="7"/>
  <c r="L12" i="7" s="1"/>
</calcChain>
</file>

<file path=xl/sharedStrings.xml><?xml version="1.0" encoding="utf-8"?>
<sst xmlns="http://schemas.openxmlformats.org/spreadsheetml/2006/main" count="761" uniqueCount="139">
  <si>
    <t>EVOLUÇÃO DA TARIFA DE PEDÁGIO - VEÍCULOS DE PASSEIO</t>
  </si>
  <si>
    <t>CONCESSIONÁRIA ROTA DE SANTA MARIA</t>
  </si>
  <si>
    <t>CONCESSIONÁRIA CAMINHOS DA SERRA GAÚCHA</t>
  </si>
  <si>
    <t>Período de Vigência da Tarifa</t>
  </si>
  <si>
    <t>Tarifa Cobrada</t>
  </si>
  <si>
    <t>Variação</t>
  </si>
  <si>
    <t>Pórtico Portão/S.S Caí</t>
  </si>
  <si>
    <t>Pórtico Flores da Cunha/Antônio Prado</t>
  </si>
  <si>
    <t>Pórtico Ipê</t>
  </si>
  <si>
    <t>Pórtico Capela de Santana</t>
  </si>
  <si>
    <t>Pórtico Farroupilha</t>
  </si>
  <si>
    <t>Pórtico Carlos Barbosa</t>
  </si>
  <si>
    <t>30/08/2021 - 30/08/2022</t>
  </si>
  <si>
    <t>-</t>
  </si>
  <si>
    <t>Valor</t>
  </si>
  <si>
    <t>31/08/2022 - 29/08/2023</t>
  </si>
  <si>
    <t>01/02/2023 - 31/01/2024</t>
  </si>
  <si>
    <t>30/08/2023 - 09/10/2024</t>
  </si>
  <si>
    <t>01/02/2024 - 31/01/2025</t>
  </si>
  <si>
    <t>10/10/2024 - 28/01/2026</t>
  </si>
  <si>
    <t>01/02/2025 - 28/04/2026</t>
  </si>
  <si>
    <t>29/01/2026 - Presente</t>
  </si>
  <si>
    <t>29/04/2026 - Presente</t>
  </si>
  <si>
    <t>VALOR DOS COMPONENTES TARIFÁRIOS - CONCESSIONÁRIA ROTA DE SANTA MARIA</t>
  </si>
  <si>
    <t xml:space="preserve">FORMAÇÃO DA TARIFA DE PEDÁGIO - VEÍCULOS DE PASSEIO - CONCESSIONÁRIA ROTA DE SANTA MARIA </t>
  </si>
  <si>
    <t>Componentes/Período de Vigência</t>
  </si>
  <si>
    <t>31/08/2021 - 30/08/2022</t>
  </si>
  <si>
    <t>Tarifa Básica de Pedágio</t>
  </si>
  <si>
    <t>IRT (*)</t>
  </si>
  <si>
    <t>IRT</t>
  </si>
  <si>
    <t>IQD</t>
  </si>
  <si>
    <t>Fator A</t>
  </si>
  <si>
    <t>Fator D</t>
  </si>
  <si>
    <t>Fator E</t>
  </si>
  <si>
    <t>FCM</t>
  </si>
  <si>
    <t>Outros</t>
  </si>
  <si>
    <t>(*) Variação acumulada desde maio de 2019.</t>
  </si>
  <si>
    <t>Tarifa (sem arredondamento monetário)</t>
  </si>
  <si>
    <t>VALOR DOS COMPONENTES TARIFÁRIOS - CONCESSIONÁRIA CAMINHOS DA SERRA GAÚCHA</t>
  </si>
  <si>
    <t>Fórmula de Cálculo:</t>
  </si>
  <si>
    <r>
      <t>Tarifa de Pedágio</t>
    </r>
    <r>
      <rPr>
        <b/>
        <vertAlign val="subscript"/>
        <sz val="10"/>
        <color rgb="FF000000"/>
        <rFont val="Calibri"/>
        <scheme val="minor"/>
      </rPr>
      <t>t  </t>
    </r>
    <r>
      <rPr>
        <b/>
        <sz val="10"/>
        <color rgb="FF000000"/>
        <rFont val="Calibri"/>
        <scheme val="minor"/>
      </rPr>
      <t>=</t>
    </r>
    <r>
      <rPr>
        <b/>
        <vertAlign val="subscript"/>
        <sz val="10"/>
        <color rgb="FF000000"/>
        <rFont val="Calibri"/>
        <scheme val="minor"/>
      </rPr>
      <t> </t>
    </r>
    <r>
      <rPr>
        <b/>
        <sz val="10"/>
        <color rgb="FF000000"/>
        <rFont val="Calibri"/>
        <scheme val="minor"/>
      </rPr>
      <t>Tarifa Básica de Pedágio x IRT</t>
    </r>
    <r>
      <rPr>
        <b/>
        <vertAlign val="subscript"/>
        <sz val="10"/>
        <color rgb="FF000000"/>
        <rFont val="Calibri"/>
        <scheme val="minor"/>
      </rPr>
      <t>t  </t>
    </r>
    <r>
      <rPr>
        <b/>
        <sz val="10"/>
        <color rgb="FF000000"/>
        <rFont val="Calibri"/>
        <scheme val="minor"/>
      </rPr>
      <t>x (0,90 + 0,1 x IQDt</t>
    </r>
    <r>
      <rPr>
        <b/>
        <vertAlign val="subscript"/>
        <sz val="10"/>
        <color rgb="FF000000"/>
        <rFont val="Calibri"/>
        <scheme val="minor"/>
      </rPr>
      <t> </t>
    </r>
    <r>
      <rPr>
        <b/>
        <sz val="10"/>
        <color rgb="FF000000"/>
        <rFont val="Calibri"/>
        <scheme val="minor"/>
      </rPr>
      <t>- D + A + E)</t>
    </r>
  </si>
  <si>
    <t>PFT</t>
  </si>
  <si>
    <t>IRTt: Índice de Reajuste de Tarifa no ano t</t>
  </si>
  <si>
    <t>D: Fator D;</t>
  </si>
  <si>
    <t>E: Fator E.</t>
  </si>
  <si>
    <t>TBPPS</t>
  </si>
  <si>
    <t>IQDt: Índice de Qualidade e Desempenho no ano t;</t>
  </si>
  <si>
    <t>A: Fator A ;</t>
  </si>
  <si>
    <t>THPS (Portão/S.S. Caí)</t>
  </si>
  <si>
    <t>0 Km</t>
  </si>
  <si>
    <t>THPS (Flores da Cunha/Antônio Prado)</t>
  </si>
  <si>
    <t>38,53 Km</t>
  </si>
  <si>
    <t>THPS (Ipê)</t>
  </si>
  <si>
    <t>38,94 Km</t>
  </si>
  <si>
    <t xml:space="preserve">FORMAÇÃO DA TARIFA DE PEDÁGIO - VEÍCULOS DE PASSEIO - CONCESSIONÁRIA CAMINHOS DA SERRA GAÚCHA - PRAÇA DE PORTÃO/ PÓRTICO DE S.S. CAÍ </t>
  </si>
  <si>
    <t xml:space="preserve">FORMAÇÃO DA TARIFA DE PEDÁGIO - VEÍCULOS DE PASSEIO - CONCESSIONÁRIA CAMINHOS DA SERRA GAÚCHA - PRAÇA DE FLORES DA CUNHA/PÓRTICO DE ANTÔNIO PRADO </t>
  </si>
  <si>
    <t>THPS (Capela de Santana)</t>
  </si>
  <si>
    <t>41,87 Km</t>
  </si>
  <si>
    <t>THPS (Farroupilha)</t>
  </si>
  <si>
    <t>42,93 Km</t>
  </si>
  <si>
    <t>Tarifa Original</t>
  </si>
  <si>
    <t>THPS (Carlos Barbosa)</t>
  </si>
  <si>
    <t>45,80 Km</t>
  </si>
  <si>
    <t xml:space="preserve">TBPPD </t>
  </si>
  <si>
    <t>THPD (Portão/S.S Caí)</t>
  </si>
  <si>
    <t>52,29 Km</t>
  </si>
  <si>
    <t>THPD (Flores da Cunha/Antônio Prado)</t>
  </si>
  <si>
    <t>THPD (Ipê)</t>
  </si>
  <si>
    <t>THPD (Capela de Santana)</t>
  </si>
  <si>
    <t>Fator C</t>
  </si>
  <si>
    <t>THPD (Farroupilha)</t>
  </si>
  <si>
    <t>9,16 Km</t>
  </si>
  <si>
    <t>THPD (Carlos Barbosa)</t>
  </si>
  <si>
    <t>2,02 Km</t>
  </si>
  <si>
    <t>TP = [PFT + (TBPPS x THPS) + (TBPPD x THPD)] x (0,90 + 0,10 x IQDt – D + A + E) x IRT  + (FCM x IRT) + C</t>
  </si>
  <si>
    <t xml:space="preserve">FORMAÇÃO DA TARIFA DE PEDÁGIO - VEÍCULOS DE PASSEIO - CONCESSIONÁRIA CAMINHOS DA SERRA GAÚCHA - PÓRTICO DE IPÊ </t>
  </si>
  <si>
    <t xml:space="preserve">FORMAÇÃO DA TARIFA DE PEDÁGIO - VEÍCULOS DE PASSEIO - CONCESSIONÁRIA CAMINHOS DA SERRA GAÚCHA - PÓRTICO DE CAPELA DE SANTANA </t>
  </si>
  <si>
    <t>TP = Tarifa de Pedágio;</t>
  </si>
  <si>
    <t>01/02/2025 - Presente</t>
  </si>
  <si>
    <t>-0,0607 (**)</t>
  </si>
  <si>
    <t>-R$ 0,1251</t>
  </si>
  <si>
    <t>PFT = Parcela Fixa da Tarifa;</t>
  </si>
  <si>
    <r>
      <rPr>
        <sz val="11"/>
        <color rgb="FF000000"/>
        <rFont val="Calibri"/>
      </rPr>
      <t>TBP</t>
    </r>
    <r>
      <rPr>
        <sz val="9"/>
        <color rgb="FF000000"/>
        <rFont val="Calibri"/>
      </rPr>
      <t>PS</t>
    </r>
    <r>
      <rPr>
        <sz val="11"/>
        <color rgb="FF000000"/>
        <rFont val="Calibri"/>
      </rPr>
      <t xml:space="preserve"> = Tarifa Básica de Pedágio de Pista Simples por quilômetro;</t>
    </r>
  </si>
  <si>
    <t>(*) Variação acumulada desde janeiro de 2020.</t>
  </si>
  <si>
    <t>THPS = Extensão, em quilômetros do Trecho Homogêneo de Pista Simples considerado no TCP;</t>
  </si>
  <si>
    <t>(**) Valor reavaliado.</t>
  </si>
  <si>
    <t>TBPPD = Tarifa Básica de Pedágio de Pista Dupla por quilômetro;</t>
  </si>
  <si>
    <t>THPD = Extensão, em quilômetros, do Trecho Homogêneo de Pista Dupla considerado no TCP.</t>
  </si>
  <si>
    <t>R$ 9.3037</t>
  </si>
  <si>
    <t>FCM: fluxo de caixa marginal.</t>
  </si>
  <si>
    <t>C: Fator C.</t>
  </si>
  <si>
    <t xml:space="preserve">FORMAÇÃO DA TARIFA DE PEDÁGIO - VEÍCULOS DE PASSEIO - CONCESSIONÁRIA CAMINHOS DA SERRA GAÚCHA - PÓRTICO DE FARROUPILHA </t>
  </si>
  <si>
    <t>FORMAÇÃO DA TARIFA DE PEDÁGIO - VEÍCULOS DE PASSEIO - CONCESSIONÁRIA CAMINHOS DA SERRA GAÚCHA - PÓRTICO DE CARLOS BARBOSA</t>
  </si>
  <si>
    <t>Evolução da Tarifa de Pedágio -  Automóvel, Caminhonete  e Furgão - Categoria 1</t>
  </si>
  <si>
    <t>Concessionária</t>
  </si>
  <si>
    <t>Ano da Concessão</t>
  </si>
  <si>
    <t>Início da Vigência</t>
  </si>
  <si>
    <t>Fim da Vigência</t>
  </si>
  <si>
    <t>Pórtico</t>
  </si>
  <si>
    <t>RSM</t>
  </si>
  <si>
    <t>30/08/2021</t>
  </si>
  <si>
    <t>30/08/2022</t>
  </si>
  <si>
    <t>31/08/2022</t>
  </si>
  <si>
    <t>29/08/2023</t>
  </si>
  <si>
    <t>30/08/2023</t>
  </si>
  <si>
    <t>09/10/2024</t>
  </si>
  <si>
    <t>28/01/2026</t>
  </si>
  <si>
    <t>29/01/2026</t>
  </si>
  <si>
    <t>Presente</t>
  </si>
  <si>
    <t>Valor dos Componentes da Tarifa</t>
  </si>
  <si>
    <t>(*) Variação Acumulada desde maio de 2019.</t>
  </si>
  <si>
    <t>Formação da Tarifa de Pedágio -  Automóvel, Caminhonete  e Furgão - Categoria 1</t>
  </si>
  <si>
    <t>Praça/Pórtico</t>
  </si>
  <si>
    <t>CSG</t>
  </si>
  <si>
    <t>01/02/2023</t>
  </si>
  <si>
    <t>31/01/2024</t>
  </si>
  <si>
    <t>Portão</t>
  </si>
  <si>
    <t>Flores da Cunha</t>
  </si>
  <si>
    <t>01/02/2024</t>
  </si>
  <si>
    <t>31/01/2025</t>
  </si>
  <si>
    <t>Portão/S.S. Caí</t>
  </si>
  <si>
    <t>Flores da Cunha/Antônio Prado</t>
  </si>
  <si>
    <t>Ipê</t>
  </si>
  <si>
    <t>Capela de Santana</t>
  </si>
  <si>
    <t>Farroupilha</t>
  </si>
  <si>
    <t>Carlos Barbosa</t>
  </si>
  <si>
    <t>01/02/2025</t>
  </si>
  <si>
    <t>28/04/2026</t>
  </si>
  <si>
    <t>São Sebastião do Caí</t>
  </si>
  <si>
    <t>Antônio Prado</t>
  </si>
  <si>
    <t>29/04/2026</t>
  </si>
  <si>
    <t>THPS</t>
  </si>
  <si>
    <t>TBPPD</t>
  </si>
  <si>
    <t>THPD</t>
  </si>
  <si>
    <t>Portão/São Sebastião do Caí</t>
  </si>
  <si>
    <t>-R$ 0,0607 (**)</t>
  </si>
  <si>
    <t>(*) Variação Acumulada desde janeiro de 2020.</t>
  </si>
  <si>
    <t>(**) Valor Revisto.</t>
  </si>
  <si>
    <t>(PFT+TBPPS*THPS+TBPPD*THPD)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</si>
</sst>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R$&quot;\ #,##0.00;[Red]\-&quot;R$&quot;\ #,##0.00"/>
    <numFmt numFmtId="165" formatCode="&quot;R$&quot;\ #,##0.00"/>
    <numFmt numFmtId="166" formatCode="&quot;R$&quot;\ #,##0.0000"/>
    <numFmt numFmtId="167" formatCode="&quot;R$&quot;\ #,##0.000000"/>
    <numFmt numFmtId="168" formatCode="0.0000"/>
    <numFmt numFmtId="169" formatCode="&quot;R$&quot;\ #,##0.00000"/>
    <numFmt numFmtId="170" formatCode="0.00000"/>
    <numFmt numFmtId="171" formatCode="0.00000000"/>
    <numFmt numFmtId="172" formatCode="&quot;R$&quot;\ #,##0.000"/>
    <numFmt numFmtId="173" formatCode="&quot;R$&quot;\ #,##0.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theme="1"/>
      <name val="Arial"/>
    </font>
    <font>
      <sz val="11"/>
      <color rgb="FF000000"/>
      <name val="Calibri"/>
      <scheme val="minor"/>
    </font>
    <font>
      <sz val="11"/>
      <color rgb="FF000000"/>
      <name val="Calibri"/>
    </font>
    <font>
      <sz val="9"/>
      <color rgb="FF000000"/>
      <name val="Calibri"/>
    </font>
    <font>
      <b/>
      <sz val="10"/>
      <color rgb="FF000000"/>
      <name val="Calibri"/>
      <scheme val="minor"/>
    </font>
    <font>
      <b/>
      <vertAlign val="subscript"/>
      <sz val="10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165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0" xfId="0" applyNumberFormat="1"/>
    <xf numFmtId="168" fontId="0" fillId="0" borderId="0" xfId="0" applyNumberFormat="1"/>
    <xf numFmtId="0" fontId="4" fillId="0" borderId="0" xfId="0" applyFont="1"/>
    <xf numFmtId="0" fontId="7" fillId="0" borderId="0" xfId="0" applyFont="1"/>
    <xf numFmtId="0" fontId="5" fillId="0" borderId="0" xfId="0" applyFont="1"/>
    <xf numFmtId="167" fontId="2" fillId="0" borderId="0" xfId="0" applyNumberFormat="1" applyFont="1"/>
    <xf numFmtId="167" fontId="0" fillId="0" borderId="0" xfId="0" applyNumberFormat="1"/>
    <xf numFmtId="0" fontId="6" fillId="0" borderId="0" xfId="0" applyFont="1" applyAlignment="1">
      <alignment horizontal="center"/>
    </xf>
    <xf numFmtId="16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4" fontId="0" fillId="0" borderId="10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9" fillId="0" borderId="0" xfId="0" applyFont="1" applyAlignment="1">
      <alignment horizontal="left"/>
    </xf>
    <xf numFmtId="10" fontId="0" fillId="0" borderId="18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165" fontId="0" fillId="0" borderId="0" xfId="0" applyNumberFormat="1"/>
    <xf numFmtId="166" fontId="0" fillId="0" borderId="0" xfId="0" applyNumberFormat="1" applyAlignment="1">
      <alignment vertical="center"/>
    </xf>
    <xf numFmtId="166" fontId="0" fillId="0" borderId="14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2" fillId="0" borderId="0" xfId="0" applyFont="1"/>
    <xf numFmtId="168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6" fontId="2" fillId="0" borderId="0" xfId="0" applyNumberFormat="1" applyFont="1"/>
    <xf numFmtId="165" fontId="0" fillId="0" borderId="22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170" fontId="0" fillId="0" borderId="10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173" fontId="5" fillId="2" borderId="0" xfId="0" applyNumberFormat="1" applyFont="1" applyFill="1"/>
    <xf numFmtId="166" fontId="5" fillId="2" borderId="3" xfId="0" applyNumberFormat="1" applyFont="1" applyFill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/>
    </xf>
    <xf numFmtId="14" fontId="0" fillId="0" borderId="36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0" fillId="0" borderId="3" xfId="0" applyBorder="1" applyAlignment="1">
      <alignment horizontal="center"/>
    </xf>
    <xf numFmtId="168" fontId="0" fillId="0" borderId="3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0" fontId="0" fillId="0" borderId="18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8" fontId="0" fillId="0" borderId="16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0" fillId="0" borderId="28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29" xfId="0" applyNumberForma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34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4" fontId="0" fillId="0" borderId="23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168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0" fontId="0" fillId="0" borderId="23" xfId="0" applyNumberFormat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166" fontId="0" fillId="0" borderId="5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36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72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35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AZ70"/>
  <sheetViews>
    <sheetView topLeftCell="K26" workbookViewId="0">
      <selection activeCell="U34" sqref="U34:V34"/>
    </sheetView>
  </sheetViews>
  <sheetFormatPr defaultRowHeight="15"/>
  <cols>
    <col min="3" max="3" width="19" customWidth="1"/>
    <col min="4" max="4" width="16.28515625" customWidth="1"/>
    <col min="5" max="5" width="12.140625" customWidth="1"/>
    <col min="6" max="6" width="10.85546875" customWidth="1"/>
    <col min="7" max="7" width="14.5703125" customWidth="1"/>
    <col min="9" max="10" width="13.85546875" customWidth="1"/>
    <col min="12" max="14" width="13.140625" customWidth="1"/>
    <col min="15" max="15" width="12.42578125" customWidth="1"/>
    <col min="16" max="16" width="10.7109375" customWidth="1"/>
    <col min="17" max="17" width="19.85546875" customWidth="1"/>
    <col min="18" max="18" width="18.85546875" customWidth="1"/>
    <col min="19" max="19" width="17.42578125" customWidth="1"/>
    <col min="20" max="20" width="19.5703125" customWidth="1"/>
    <col min="21" max="21" width="12.5703125" customWidth="1"/>
    <col min="22" max="22" width="12.7109375" customWidth="1"/>
    <col min="23" max="23" width="12.140625" customWidth="1"/>
    <col min="24" max="24" width="11.28515625" customWidth="1"/>
    <col min="25" max="25" width="12.28515625" customWidth="1"/>
    <col min="26" max="26" width="17.42578125" customWidth="1"/>
    <col min="27" max="27" width="22.28515625" customWidth="1"/>
    <col min="29" max="29" width="16.42578125" customWidth="1"/>
    <col min="31" max="31" width="16.140625" customWidth="1"/>
    <col min="32" max="32" width="19.140625" customWidth="1"/>
    <col min="33" max="33" width="12.85546875" customWidth="1"/>
    <col min="34" max="34" width="20.140625" customWidth="1"/>
    <col min="35" max="35" width="27.85546875" customWidth="1"/>
    <col min="36" max="36" width="17.42578125" customWidth="1"/>
    <col min="37" max="37" width="14.140625" customWidth="1"/>
    <col min="38" max="38" width="16.5703125" customWidth="1"/>
    <col min="39" max="39" width="15.5703125" customWidth="1"/>
    <col min="40" max="40" width="13.140625" customWidth="1"/>
    <col min="41" max="41" width="13.42578125" customWidth="1"/>
    <col min="42" max="42" width="14.7109375" customWidth="1"/>
    <col min="43" max="43" width="14.28515625" customWidth="1"/>
  </cols>
  <sheetData>
    <row r="4" spans="3:27">
      <c r="D4" s="88" t="s">
        <v>0</v>
      </c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</row>
    <row r="5" spans="3:27">
      <c r="D5" s="125" t="s">
        <v>1</v>
      </c>
      <c r="E5" s="125"/>
      <c r="F5" s="117"/>
      <c r="G5" s="117"/>
      <c r="H5" s="117"/>
      <c r="I5" s="117"/>
      <c r="L5" s="117" t="s">
        <v>2</v>
      </c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</row>
    <row r="6" spans="3:27">
      <c r="D6" s="90" t="s">
        <v>3</v>
      </c>
      <c r="E6" s="90"/>
      <c r="F6" s="108" t="s">
        <v>4</v>
      </c>
      <c r="G6" s="117"/>
      <c r="H6" s="117" t="s">
        <v>5</v>
      </c>
      <c r="I6" s="117"/>
      <c r="L6" s="101" t="s">
        <v>3</v>
      </c>
      <c r="M6" s="102"/>
      <c r="N6" s="102"/>
      <c r="O6" s="103"/>
      <c r="P6" s="117" t="s">
        <v>6</v>
      </c>
      <c r="Q6" s="117"/>
      <c r="R6" s="117" t="s">
        <v>7</v>
      </c>
      <c r="S6" s="117"/>
      <c r="T6" s="117" t="s">
        <v>8</v>
      </c>
      <c r="U6" s="117"/>
      <c r="V6" s="117" t="s">
        <v>9</v>
      </c>
      <c r="W6" s="117"/>
      <c r="X6" s="117" t="s">
        <v>10</v>
      </c>
      <c r="Y6" s="117"/>
      <c r="Z6" s="117" t="s">
        <v>11</v>
      </c>
      <c r="AA6" s="117"/>
    </row>
    <row r="7" spans="3:27">
      <c r="D7" s="155" t="s">
        <v>12</v>
      </c>
      <c r="E7" s="131"/>
      <c r="F7" s="118">
        <v>3.7</v>
      </c>
      <c r="G7" s="118"/>
      <c r="H7" s="117" t="s">
        <v>13</v>
      </c>
      <c r="I7" s="117"/>
      <c r="L7" s="104"/>
      <c r="M7" s="105"/>
      <c r="N7" s="105"/>
      <c r="O7" s="106"/>
      <c r="P7" s="1" t="s">
        <v>14</v>
      </c>
      <c r="Q7" s="1" t="s">
        <v>5</v>
      </c>
      <c r="R7" s="1" t="s">
        <v>14</v>
      </c>
      <c r="S7" s="1" t="s">
        <v>5</v>
      </c>
      <c r="T7" s="1" t="s">
        <v>14</v>
      </c>
      <c r="U7" s="1" t="s">
        <v>5</v>
      </c>
      <c r="V7" s="1" t="s">
        <v>14</v>
      </c>
      <c r="W7" s="1" t="s">
        <v>5</v>
      </c>
      <c r="X7" s="1" t="s">
        <v>14</v>
      </c>
      <c r="Y7" s="1" t="s">
        <v>5</v>
      </c>
      <c r="Z7" s="1" t="s">
        <v>14</v>
      </c>
      <c r="AA7" s="1" t="s">
        <v>5</v>
      </c>
    </row>
    <row r="8" spans="3:27">
      <c r="D8" s="153" t="s">
        <v>15</v>
      </c>
      <c r="E8" s="117"/>
      <c r="F8" s="118">
        <v>4.0999999999999996</v>
      </c>
      <c r="G8" s="118"/>
      <c r="H8" s="157">
        <f>(F8/F7)-1</f>
        <v>0.10810810810810789</v>
      </c>
      <c r="I8" s="157"/>
      <c r="L8" s="153" t="s">
        <v>16</v>
      </c>
      <c r="M8" s="153"/>
      <c r="N8" s="153"/>
      <c r="O8" s="117"/>
      <c r="P8" s="4">
        <v>11.9</v>
      </c>
      <c r="Q8" s="1" t="s">
        <v>13</v>
      </c>
      <c r="R8" s="4">
        <v>8.3000000000000007</v>
      </c>
      <c r="S8" s="1" t="s">
        <v>13</v>
      </c>
      <c r="T8" s="1" t="s">
        <v>13</v>
      </c>
      <c r="U8" s="1" t="s">
        <v>13</v>
      </c>
      <c r="V8" s="1" t="s">
        <v>13</v>
      </c>
      <c r="W8" s="1" t="s">
        <v>13</v>
      </c>
      <c r="X8" s="1" t="s">
        <v>13</v>
      </c>
      <c r="Y8" s="1" t="s">
        <v>13</v>
      </c>
      <c r="Z8" s="1" t="s">
        <v>13</v>
      </c>
      <c r="AA8" s="1" t="s">
        <v>13</v>
      </c>
    </row>
    <row r="9" spans="3:27">
      <c r="D9" s="153" t="s">
        <v>17</v>
      </c>
      <c r="E9" s="117"/>
      <c r="F9" s="118">
        <v>4.3</v>
      </c>
      <c r="G9" s="118"/>
      <c r="H9" s="157">
        <f t="shared" ref="H9:H10" si="0">(F9/F8)-1</f>
        <v>4.8780487804878092E-2</v>
      </c>
      <c r="I9" s="157"/>
      <c r="L9" s="117" t="s">
        <v>18</v>
      </c>
      <c r="M9" s="117"/>
      <c r="N9" s="117"/>
      <c r="O9" s="117"/>
      <c r="P9" s="4">
        <v>12.3</v>
      </c>
      <c r="Q9" s="5">
        <f>(P9/P8)-1</f>
        <v>3.3613445378151363E-2</v>
      </c>
      <c r="R9" s="4">
        <v>8.6</v>
      </c>
      <c r="S9" s="5">
        <f>(R9/R8)-1</f>
        <v>3.6144578313252795E-2</v>
      </c>
      <c r="T9" s="4">
        <v>8.6</v>
      </c>
      <c r="U9" s="5" t="s">
        <v>13</v>
      </c>
      <c r="V9" s="4">
        <v>9</v>
      </c>
      <c r="W9" s="1" t="s">
        <v>13</v>
      </c>
      <c r="X9" s="4">
        <v>10.7</v>
      </c>
      <c r="Y9" s="1" t="s">
        <v>13</v>
      </c>
      <c r="Z9" s="4">
        <v>9.9</v>
      </c>
      <c r="AA9" s="1" t="s">
        <v>13</v>
      </c>
    </row>
    <row r="10" spans="3:27">
      <c r="D10" s="156" t="s">
        <v>19</v>
      </c>
      <c r="E10" s="125"/>
      <c r="F10" s="150">
        <v>5</v>
      </c>
      <c r="G10" s="150"/>
      <c r="H10" s="154">
        <f t="shared" si="0"/>
        <v>0.16279069767441867</v>
      </c>
      <c r="I10" s="154"/>
      <c r="L10" s="125" t="s">
        <v>20</v>
      </c>
      <c r="M10" s="125"/>
      <c r="N10" s="125"/>
      <c r="O10" s="125"/>
      <c r="P10" s="71">
        <v>13</v>
      </c>
      <c r="Q10" s="70">
        <f>(P10/P9)-1</f>
        <v>5.6910569105691033E-2</v>
      </c>
      <c r="R10" s="71">
        <v>9.1</v>
      </c>
      <c r="S10" s="70">
        <f>(R10/R9)-1</f>
        <v>5.8139534883721034E-2</v>
      </c>
      <c r="T10" s="192">
        <v>9.1</v>
      </c>
      <c r="U10" s="70">
        <f>(T10/T9)-1</f>
        <v>5.8139534883721034E-2</v>
      </c>
      <c r="V10" s="71">
        <v>9.5</v>
      </c>
      <c r="W10" s="70">
        <f>(V10/V9)-1</f>
        <v>5.555555555555558E-2</v>
      </c>
      <c r="X10" s="71">
        <v>11.3</v>
      </c>
      <c r="Y10" s="70">
        <f>(X10/X9)-1</f>
        <v>5.6074766355140415E-2</v>
      </c>
      <c r="Z10" s="71">
        <v>10.4</v>
      </c>
      <c r="AA10" s="70">
        <f>(Z10/Z9)-1</f>
        <v>5.0505050505050608E-2</v>
      </c>
    </row>
    <row r="11" spans="3:27">
      <c r="D11" s="90" t="s">
        <v>21</v>
      </c>
      <c r="E11" s="90"/>
      <c r="F11" s="161">
        <v>5.4</v>
      </c>
      <c r="G11" s="162"/>
      <c r="H11" s="94">
        <f t="shared" ref="H11" si="1">(F11/F10)-1</f>
        <v>8.0000000000000071E-2</v>
      </c>
      <c r="I11" s="94"/>
      <c r="L11" s="90" t="s">
        <v>22</v>
      </c>
      <c r="M11" s="90"/>
      <c r="N11" s="90"/>
      <c r="O11" s="90"/>
      <c r="P11" s="38">
        <v>13.3</v>
      </c>
      <c r="Q11" s="18">
        <f>(P11/P10)-1</f>
        <v>2.3076923076923217E-2</v>
      </c>
      <c r="R11" s="74">
        <v>9.1999999999999993</v>
      </c>
      <c r="S11" s="18">
        <f>(R11/R10)-1</f>
        <v>1.098901098901095E-2</v>
      </c>
      <c r="T11" s="74">
        <v>9.3000000000000007</v>
      </c>
      <c r="U11" s="18">
        <f>(T11/T10)-1</f>
        <v>2.1978021978022122E-2</v>
      </c>
      <c r="V11" s="74">
        <v>9.6999999999999993</v>
      </c>
      <c r="W11" s="18">
        <f>(V11/V10)-1</f>
        <v>2.1052631578947212E-2</v>
      </c>
      <c r="X11" s="74">
        <v>11.5</v>
      </c>
      <c r="Y11" s="18">
        <f>(X11/X10)-1</f>
        <v>1.7699115044247815E-2</v>
      </c>
      <c r="Z11" s="74">
        <v>10.6</v>
      </c>
      <c r="AA11" s="18">
        <f>(Z11/Z10)-1</f>
        <v>1.9230769230769162E-2</v>
      </c>
    </row>
    <row r="12" spans="3:27">
      <c r="D12" s="2"/>
      <c r="E12" s="2"/>
      <c r="F12" s="2"/>
      <c r="G12" s="2"/>
      <c r="H12" s="2"/>
      <c r="I12" s="2"/>
      <c r="L12" s="2"/>
      <c r="M12" s="2"/>
      <c r="N12" s="2"/>
      <c r="O12" s="2"/>
    </row>
    <row r="14" spans="3:27">
      <c r="C14" s="88" t="s">
        <v>23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Q14" s="88" t="s">
        <v>24</v>
      </c>
      <c r="R14" s="88"/>
      <c r="S14" s="88"/>
      <c r="T14" s="88"/>
      <c r="U14" s="88"/>
      <c r="V14" s="88"/>
      <c r="W14" s="88"/>
      <c r="X14" s="88"/>
      <c r="Y14" s="88"/>
      <c r="Z14" s="88"/>
    </row>
    <row r="15" spans="3:27">
      <c r="C15" s="117" t="s">
        <v>25</v>
      </c>
      <c r="D15" s="107"/>
      <c r="E15" s="151" t="s">
        <v>26</v>
      </c>
      <c r="F15" s="90"/>
      <c r="G15" s="158" t="s">
        <v>15</v>
      </c>
      <c r="H15" s="117"/>
      <c r="I15" s="153" t="s">
        <v>17</v>
      </c>
      <c r="J15" s="117"/>
      <c r="K15" s="153" t="s">
        <v>19</v>
      </c>
      <c r="L15" s="107"/>
      <c r="M15" s="144" t="s">
        <v>21</v>
      </c>
      <c r="N15" s="144"/>
      <c r="Q15" s="123" t="s">
        <v>25</v>
      </c>
      <c r="R15" s="139"/>
      <c r="S15" s="140" t="s">
        <v>26</v>
      </c>
      <c r="T15" s="141"/>
      <c r="U15" s="142" t="s">
        <v>15</v>
      </c>
      <c r="V15" s="122"/>
      <c r="W15" s="121" t="s">
        <v>17</v>
      </c>
      <c r="X15" s="122"/>
      <c r="Y15" s="121" t="s">
        <v>19</v>
      </c>
      <c r="Z15" s="143"/>
      <c r="AA15" s="22" t="s">
        <v>21</v>
      </c>
    </row>
    <row r="16" spans="3:27">
      <c r="C16" s="90" t="s">
        <v>27</v>
      </c>
      <c r="D16" s="90"/>
      <c r="E16" s="92">
        <v>3.36</v>
      </c>
      <c r="F16" s="92"/>
      <c r="G16" s="92">
        <v>3.36</v>
      </c>
      <c r="H16" s="92"/>
      <c r="I16" s="92">
        <v>3.36</v>
      </c>
      <c r="J16" s="92"/>
      <c r="K16" s="92">
        <v>3.36</v>
      </c>
      <c r="L16" s="96"/>
      <c r="M16" s="92">
        <v>3.36</v>
      </c>
      <c r="N16" s="92"/>
      <c r="Q16" s="98" t="s">
        <v>27</v>
      </c>
      <c r="R16" s="114"/>
      <c r="S16" s="96">
        <v>3.36</v>
      </c>
      <c r="T16" s="97"/>
      <c r="U16" s="96">
        <v>3.36</v>
      </c>
      <c r="V16" s="97"/>
      <c r="W16" s="96">
        <v>3.36</v>
      </c>
      <c r="X16" s="97"/>
      <c r="Y16" s="96">
        <v>3.36</v>
      </c>
      <c r="Z16" s="177"/>
      <c r="AA16" s="34">
        <v>3.36</v>
      </c>
    </row>
    <row r="17" spans="3:44">
      <c r="C17" s="117" t="s">
        <v>28</v>
      </c>
      <c r="D17" s="107"/>
      <c r="E17" s="94">
        <v>0.1067</v>
      </c>
      <c r="F17" s="90"/>
      <c r="G17" s="163">
        <v>0.23830000000000001</v>
      </c>
      <c r="H17" s="117"/>
      <c r="I17" s="157">
        <v>0.27739999999999998</v>
      </c>
      <c r="J17" s="117"/>
      <c r="K17" s="157">
        <v>0.33139999999999997</v>
      </c>
      <c r="L17" s="107"/>
      <c r="M17" s="93">
        <v>0.40260000000000001</v>
      </c>
      <c r="N17" s="89"/>
      <c r="Q17" s="147" t="s">
        <v>29</v>
      </c>
      <c r="R17" s="148"/>
      <c r="S17" s="145">
        <f>'RSM3'!G4</f>
        <v>0.358512</v>
      </c>
      <c r="T17" s="149"/>
      <c r="U17" s="145">
        <f>'RSM3'!G5</f>
        <v>0.45716248062666581</v>
      </c>
      <c r="V17" s="149"/>
      <c r="W17" s="145">
        <f>'RSM3'!G6</f>
        <v>0.59397128930640397</v>
      </c>
      <c r="X17" s="149"/>
      <c r="Y17" s="145">
        <f>'RSM3'!G7</f>
        <v>0.87365825086375271</v>
      </c>
      <c r="Z17" s="146"/>
      <c r="AA17" s="84">
        <f>'RSM3'!G8</f>
        <v>1.204668088284121</v>
      </c>
      <c r="AB17" s="58"/>
    </row>
    <row r="18" spans="3:44">
      <c r="C18" s="117" t="s">
        <v>30</v>
      </c>
      <c r="D18" s="117"/>
      <c r="E18" s="115">
        <v>0</v>
      </c>
      <c r="F18" s="115"/>
      <c r="G18" s="117">
        <v>0.86729999999999996</v>
      </c>
      <c r="H18" s="117"/>
      <c r="I18" s="117">
        <v>0.93359999999999999</v>
      </c>
      <c r="J18" s="117"/>
      <c r="K18" s="159">
        <v>0.91200000000000003</v>
      </c>
      <c r="L18" s="160"/>
      <c r="M18" s="94">
        <v>0.91849999999999998</v>
      </c>
      <c r="N18" s="90"/>
      <c r="Q18" s="107" t="s">
        <v>30</v>
      </c>
      <c r="R18" s="108"/>
      <c r="S18" s="109">
        <v>0</v>
      </c>
      <c r="T18" s="110"/>
      <c r="U18" s="109">
        <f>'RSM3'!H5</f>
        <v>0.29141280000000003</v>
      </c>
      <c r="V18" s="110"/>
      <c r="W18" s="109">
        <f>'RSM3'!H6</f>
        <v>0.31368960000000001</v>
      </c>
      <c r="X18" s="110"/>
      <c r="Y18" s="109">
        <f>'RSM3'!H7</f>
        <v>0.30643200000000004</v>
      </c>
      <c r="Z18" s="130"/>
      <c r="AA18" s="14">
        <f>'RSM3'!H8</f>
        <v>0.308616</v>
      </c>
      <c r="AB18" s="3"/>
    </row>
    <row r="19" spans="3:44">
      <c r="C19" s="117" t="s">
        <v>31</v>
      </c>
      <c r="D19" s="117"/>
      <c r="E19" s="116">
        <v>0</v>
      </c>
      <c r="F19" s="116"/>
      <c r="G19" s="116">
        <v>0</v>
      </c>
      <c r="H19" s="116"/>
      <c r="I19" s="116">
        <v>0</v>
      </c>
      <c r="J19" s="116"/>
      <c r="K19" s="159">
        <v>0</v>
      </c>
      <c r="L19" s="160"/>
      <c r="M19" s="91">
        <v>0</v>
      </c>
      <c r="N19" s="91"/>
      <c r="Q19" s="107" t="s">
        <v>31</v>
      </c>
      <c r="R19" s="108"/>
      <c r="S19" s="109">
        <v>0</v>
      </c>
      <c r="T19" s="110"/>
      <c r="U19" s="109">
        <v>0</v>
      </c>
      <c r="V19" s="110"/>
      <c r="W19" s="109">
        <v>0</v>
      </c>
      <c r="X19" s="110"/>
      <c r="Y19" s="109">
        <v>0</v>
      </c>
      <c r="Z19" s="130"/>
      <c r="AA19" s="41">
        <v>0</v>
      </c>
      <c r="AB19" s="3"/>
    </row>
    <row r="20" spans="3:44">
      <c r="C20" s="117" t="s">
        <v>32</v>
      </c>
      <c r="D20" s="117"/>
      <c r="E20" s="116">
        <v>0</v>
      </c>
      <c r="F20" s="116"/>
      <c r="G20" s="116">
        <v>0</v>
      </c>
      <c r="H20" s="116"/>
      <c r="I20" s="116">
        <v>0</v>
      </c>
      <c r="J20" s="116"/>
      <c r="K20" s="159">
        <v>-8.6E-3</v>
      </c>
      <c r="L20" s="160"/>
      <c r="M20" s="92">
        <v>0</v>
      </c>
      <c r="N20" s="92"/>
      <c r="Q20" s="107" t="s">
        <v>32</v>
      </c>
      <c r="R20" s="108"/>
      <c r="S20" s="109">
        <v>0</v>
      </c>
      <c r="T20" s="110"/>
      <c r="U20" s="109">
        <v>0</v>
      </c>
      <c r="V20" s="110"/>
      <c r="W20" s="109">
        <v>0</v>
      </c>
      <c r="X20" s="110"/>
      <c r="Y20" s="109">
        <f>'RSM3'!J7</f>
        <v>-6.459366080817185E-4</v>
      </c>
      <c r="Z20" s="130"/>
      <c r="AA20" s="14">
        <v>0</v>
      </c>
      <c r="AB20" s="3"/>
    </row>
    <row r="21" spans="3:44">
      <c r="C21" s="117" t="s">
        <v>33</v>
      </c>
      <c r="D21" s="117"/>
      <c r="E21" s="116">
        <v>0</v>
      </c>
      <c r="F21" s="116"/>
      <c r="G21" s="116">
        <v>0</v>
      </c>
      <c r="H21" s="116"/>
      <c r="I21" s="116">
        <v>0</v>
      </c>
      <c r="J21" s="116"/>
      <c r="K21" s="159">
        <v>0</v>
      </c>
      <c r="L21" s="160"/>
      <c r="M21" s="92">
        <v>0</v>
      </c>
      <c r="N21" s="92"/>
      <c r="Q21" s="107" t="s">
        <v>33</v>
      </c>
      <c r="R21" s="108"/>
      <c r="S21" s="109">
        <v>0</v>
      </c>
      <c r="T21" s="110"/>
      <c r="U21" s="109">
        <v>0</v>
      </c>
      <c r="V21" s="110"/>
      <c r="W21" s="109">
        <v>0</v>
      </c>
      <c r="X21" s="110"/>
      <c r="Y21" s="109">
        <v>0</v>
      </c>
      <c r="Z21" s="130"/>
      <c r="AA21" s="14">
        <v>0</v>
      </c>
      <c r="AB21" s="3"/>
    </row>
    <row r="22" spans="3:44">
      <c r="C22" s="125" t="s">
        <v>34</v>
      </c>
      <c r="D22" s="125"/>
      <c r="E22" s="152">
        <v>0</v>
      </c>
      <c r="F22" s="152"/>
      <c r="G22" s="152">
        <v>0</v>
      </c>
      <c r="H22" s="152"/>
      <c r="I22" s="152">
        <v>0</v>
      </c>
      <c r="J22" s="152"/>
      <c r="K22" s="152">
        <v>0.61899999999999999</v>
      </c>
      <c r="L22" s="165"/>
      <c r="M22" s="92">
        <v>0.64583699999999999</v>
      </c>
      <c r="N22" s="92"/>
      <c r="Q22" s="107" t="s">
        <v>34</v>
      </c>
      <c r="R22" s="108"/>
      <c r="S22" s="109">
        <v>0</v>
      </c>
      <c r="T22" s="110"/>
      <c r="U22" s="109">
        <v>0</v>
      </c>
      <c r="V22" s="110"/>
      <c r="W22" s="109">
        <v>0</v>
      </c>
      <c r="X22" s="110"/>
      <c r="Y22" s="109">
        <f>'RSM3'!L7</f>
        <v>0.46492414000300436</v>
      </c>
      <c r="Z22" s="130"/>
      <c r="AA22" s="14">
        <f>'RSM3'!L8</f>
        <v>0.46045700841294734</v>
      </c>
      <c r="AB22" s="3"/>
    </row>
    <row r="23" spans="3:44">
      <c r="C23" s="90" t="s">
        <v>35</v>
      </c>
      <c r="D23" s="90"/>
      <c r="E23" s="92">
        <v>0</v>
      </c>
      <c r="F23" s="92"/>
      <c r="G23" s="92">
        <v>1.6500000000000001E-2</v>
      </c>
      <c r="H23" s="92"/>
      <c r="I23" s="92">
        <f>0.0187</f>
        <v>1.8700000000000001E-2</v>
      </c>
      <c r="J23" s="92"/>
      <c r="K23" s="92">
        <v>-3.9899999999999998E-2</v>
      </c>
      <c r="L23" s="96"/>
      <c r="M23" s="92">
        <v>4.9299999999999997E-2</v>
      </c>
      <c r="N23" s="92"/>
      <c r="Q23" s="107" t="s">
        <v>35</v>
      </c>
      <c r="R23" s="108"/>
      <c r="S23" s="109">
        <v>0</v>
      </c>
      <c r="T23" s="110"/>
      <c r="U23" s="109">
        <f>'RSM3'!M5</f>
        <v>1.3324719373334411E-2</v>
      </c>
      <c r="V23" s="110"/>
      <c r="W23" s="109">
        <f>'RSM3'!M6</f>
        <v>1.4639110693596368E-2</v>
      </c>
      <c r="X23" s="110"/>
      <c r="Y23" s="109">
        <f>'RSM3'!M7</f>
        <v>-2.996845425867508E-2</v>
      </c>
      <c r="Z23" s="130"/>
      <c r="AA23" s="34">
        <f>'RSM3'!M8</f>
        <v>3.5149008983316694E-2</v>
      </c>
      <c r="AB23" s="3"/>
    </row>
    <row r="24" spans="3:44">
      <c r="C24" s="87" t="s">
        <v>36</v>
      </c>
      <c r="D24" s="87"/>
      <c r="E24" s="87"/>
      <c r="F24" s="87"/>
      <c r="G24" s="88"/>
      <c r="H24" s="88"/>
      <c r="I24" s="88"/>
      <c r="J24" s="88"/>
      <c r="K24" s="88"/>
      <c r="L24" s="88"/>
      <c r="M24" s="2"/>
      <c r="N24" s="45"/>
      <c r="Q24" s="135" t="s">
        <v>37</v>
      </c>
      <c r="R24" s="135"/>
      <c r="S24" s="136">
        <f>SUM(S16:S23)</f>
        <v>3.718512</v>
      </c>
      <c r="T24" s="136"/>
      <c r="U24" s="136">
        <v>4.1219000000000001</v>
      </c>
      <c r="V24" s="136"/>
      <c r="W24" s="136">
        <v>4.2823000000000002</v>
      </c>
      <c r="X24" s="136"/>
      <c r="Y24" s="136">
        <v>4.9744000000000002</v>
      </c>
      <c r="Z24" s="137"/>
      <c r="AA24" s="79">
        <v>5.3688901056803848</v>
      </c>
      <c r="AB24" s="78"/>
    </row>
    <row r="25" spans="3:44">
      <c r="N25" s="2"/>
    </row>
    <row r="26" spans="3:44">
      <c r="C26" s="184" t="s">
        <v>38</v>
      </c>
      <c r="D26" s="184"/>
      <c r="E26" s="184"/>
      <c r="F26" s="184"/>
      <c r="G26" s="184"/>
      <c r="H26" s="184"/>
      <c r="I26" s="184"/>
      <c r="J26" s="184"/>
      <c r="K26" s="184"/>
      <c r="L26" s="184"/>
      <c r="AA26" s="167"/>
      <c r="AB26" s="167"/>
      <c r="AC26" s="167"/>
      <c r="AD26" s="167"/>
      <c r="AE26" s="167"/>
      <c r="AF26" s="167"/>
      <c r="AG26" s="167"/>
      <c r="AH26" s="167"/>
      <c r="AI26" s="167"/>
    </row>
    <row r="27" spans="3:44">
      <c r="C27" s="107" t="s">
        <v>25</v>
      </c>
      <c r="D27" s="108"/>
      <c r="E27" s="121" t="s">
        <v>16</v>
      </c>
      <c r="F27" s="122"/>
      <c r="G27" s="123" t="s">
        <v>18</v>
      </c>
      <c r="H27" s="124"/>
      <c r="I27" s="117" t="s">
        <v>20</v>
      </c>
      <c r="J27" s="117"/>
      <c r="K27" s="117" t="s">
        <v>22</v>
      </c>
      <c r="L27" s="117"/>
      <c r="M27" s="2"/>
      <c r="Q27" s="88" t="s">
        <v>39</v>
      </c>
      <c r="R27" s="88"/>
      <c r="S27" s="138" t="s">
        <v>40</v>
      </c>
      <c r="T27" s="138"/>
      <c r="U27" s="138"/>
      <c r="V27" s="138"/>
      <c r="W27" s="138"/>
      <c r="X27" s="138"/>
      <c r="Z27" s="3"/>
      <c r="AA27" s="46"/>
      <c r="AB27" s="45"/>
      <c r="AC27" s="45"/>
      <c r="AD27" s="45"/>
      <c r="AE27" s="45"/>
      <c r="AF27" s="45"/>
      <c r="AG27" s="45"/>
      <c r="AH27" s="45"/>
    </row>
    <row r="28" spans="3:44">
      <c r="C28" s="107" t="s">
        <v>41</v>
      </c>
      <c r="D28" s="133"/>
      <c r="E28" s="92">
        <v>2.9609999999999999</v>
      </c>
      <c r="F28" s="92"/>
      <c r="G28" s="92">
        <v>2.9609999999999999</v>
      </c>
      <c r="H28" s="92"/>
      <c r="I28" s="92">
        <v>2.9609999999999999</v>
      </c>
      <c r="J28" s="92"/>
      <c r="K28" s="92">
        <v>2.9609999999999999</v>
      </c>
      <c r="L28" s="92"/>
      <c r="M28" s="2"/>
      <c r="N28" s="2"/>
      <c r="Q28" s="193" t="s">
        <v>42</v>
      </c>
      <c r="R28" s="8"/>
      <c r="S28" s="8"/>
      <c r="T28" s="193" t="s">
        <v>43</v>
      </c>
      <c r="U28" s="193" t="s">
        <v>44</v>
      </c>
      <c r="V28" s="8"/>
      <c r="W28" s="8"/>
      <c r="X28" s="8"/>
      <c r="AA28" s="164">
        <f>(U16*1.2383*0.9)+(U16*1.2383*0.1)+0.0165</f>
        <v>4.1771879999999992</v>
      </c>
      <c r="AB28" s="164"/>
      <c r="AI28" s="2"/>
      <c r="AJ28" s="12"/>
    </row>
    <row r="29" spans="3:44">
      <c r="C29" s="107" t="s">
        <v>45</v>
      </c>
      <c r="D29" s="111"/>
      <c r="E29" s="112">
        <v>0.10100000000000001</v>
      </c>
      <c r="F29" s="113"/>
      <c r="G29" s="112">
        <v>0.10100000000000001</v>
      </c>
      <c r="H29" s="113"/>
      <c r="I29" s="112">
        <v>0.10100000000000001</v>
      </c>
      <c r="J29" s="113"/>
      <c r="K29" s="112">
        <v>0.10100000000000001</v>
      </c>
      <c r="L29" s="113"/>
      <c r="M29" s="2"/>
      <c r="N29" s="2"/>
      <c r="Q29" s="193" t="s">
        <v>46</v>
      </c>
      <c r="T29" s="193" t="s">
        <v>47</v>
      </c>
      <c r="AA29">
        <f>(U16*0.1*G18)</f>
        <v>0.29141280000000003</v>
      </c>
      <c r="AI29" s="2"/>
      <c r="AJ29" s="12"/>
    </row>
    <row r="30" spans="3:44">
      <c r="C30" s="107" t="s">
        <v>48</v>
      </c>
      <c r="D30" s="111"/>
      <c r="E30" s="98" t="s">
        <v>49</v>
      </c>
      <c r="F30" s="114"/>
      <c r="G30" s="98" t="s">
        <v>49</v>
      </c>
      <c r="H30" s="114"/>
      <c r="I30" s="98" t="s">
        <v>49</v>
      </c>
      <c r="J30" s="114"/>
      <c r="K30" s="98" t="s">
        <v>49</v>
      </c>
      <c r="L30" s="114"/>
      <c r="M30" s="2"/>
      <c r="N30" s="2"/>
      <c r="AI30" s="2"/>
      <c r="AJ30" s="12"/>
    </row>
    <row r="31" spans="3:44">
      <c r="C31" s="107" t="s">
        <v>50</v>
      </c>
      <c r="D31" s="111"/>
      <c r="E31" s="98" t="s">
        <v>51</v>
      </c>
      <c r="F31" s="114"/>
      <c r="G31" s="98" t="s">
        <v>51</v>
      </c>
      <c r="H31" s="114"/>
      <c r="I31" s="98" t="s">
        <v>51</v>
      </c>
      <c r="J31" s="114"/>
      <c r="K31" s="98" t="s">
        <v>51</v>
      </c>
      <c r="L31" s="114"/>
      <c r="M31" s="2"/>
      <c r="N31" s="2"/>
      <c r="AI31" s="2"/>
      <c r="AJ31" s="11"/>
    </row>
    <row r="32" spans="3:44">
      <c r="C32" s="107" t="s">
        <v>52</v>
      </c>
      <c r="D32" s="111"/>
      <c r="E32" s="98" t="s">
        <v>49</v>
      </c>
      <c r="F32" s="114"/>
      <c r="G32" s="98" t="s">
        <v>53</v>
      </c>
      <c r="H32" s="114"/>
      <c r="I32" s="98" t="s">
        <v>53</v>
      </c>
      <c r="J32" s="114"/>
      <c r="K32" s="98" t="s">
        <v>53</v>
      </c>
      <c r="L32" s="114"/>
      <c r="M32" s="2"/>
      <c r="N32" s="2"/>
      <c r="S32" s="88" t="s">
        <v>54</v>
      </c>
      <c r="T32" s="88"/>
      <c r="U32" s="88"/>
      <c r="V32" s="88"/>
      <c r="W32" s="88"/>
      <c r="X32" s="88"/>
      <c r="Y32" s="88"/>
      <c r="Z32" s="88"/>
      <c r="AA32" s="88"/>
      <c r="AB32" s="88"/>
      <c r="AC32" s="2"/>
      <c r="AD32" s="2"/>
      <c r="AI32" s="88" t="s">
        <v>55</v>
      </c>
      <c r="AJ32" s="88"/>
      <c r="AK32" s="88"/>
      <c r="AL32" s="88"/>
      <c r="AM32" s="88"/>
      <c r="AN32" s="88"/>
      <c r="AO32" s="88"/>
      <c r="AP32" s="88"/>
      <c r="AQ32" s="88"/>
      <c r="AR32" s="88"/>
    </row>
    <row r="33" spans="3:52">
      <c r="C33" s="107" t="s">
        <v>56</v>
      </c>
      <c r="D33" s="111"/>
      <c r="E33" s="98" t="s">
        <v>49</v>
      </c>
      <c r="F33" s="114"/>
      <c r="G33" s="98" t="s">
        <v>57</v>
      </c>
      <c r="H33" s="114"/>
      <c r="I33" s="98" t="s">
        <v>57</v>
      </c>
      <c r="J33" s="114"/>
      <c r="K33" s="98" t="s">
        <v>57</v>
      </c>
      <c r="L33" s="114"/>
      <c r="M33" s="2"/>
      <c r="N33" s="2"/>
      <c r="S33" s="90" t="s">
        <v>25</v>
      </c>
      <c r="T33" s="98"/>
      <c r="U33" s="151" t="s">
        <v>16</v>
      </c>
      <c r="V33" s="151"/>
      <c r="W33" s="90" t="s">
        <v>18</v>
      </c>
      <c r="X33" s="90"/>
      <c r="Y33" s="166" t="s">
        <v>20</v>
      </c>
      <c r="Z33" s="166"/>
      <c r="AA33" s="144" t="s">
        <v>22</v>
      </c>
      <c r="AB33" s="144"/>
      <c r="AI33" s="98" t="s">
        <v>25</v>
      </c>
      <c r="AJ33" s="114"/>
      <c r="AK33" s="121" t="s">
        <v>16</v>
      </c>
      <c r="AL33" s="122"/>
      <c r="AM33" s="123" t="s">
        <v>18</v>
      </c>
      <c r="AN33" s="124"/>
      <c r="AO33" s="117" t="s">
        <v>20</v>
      </c>
      <c r="AP33" s="117"/>
      <c r="AQ33" s="117" t="s">
        <v>22</v>
      </c>
      <c r="AR33" s="117"/>
    </row>
    <row r="34" spans="3:52">
      <c r="C34" s="107" t="s">
        <v>58</v>
      </c>
      <c r="D34" s="111"/>
      <c r="E34" s="98" t="s">
        <v>49</v>
      </c>
      <c r="F34" s="114"/>
      <c r="G34" s="98" t="s">
        <v>59</v>
      </c>
      <c r="H34" s="114"/>
      <c r="I34" s="98" t="s">
        <v>59</v>
      </c>
      <c r="J34" s="114"/>
      <c r="K34" s="98" t="s">
        <v>59</v>
      </c>
      <c r="L34" s="114"/>
      <c r="M34" s="2"/>
      <c r="N34" s="2"/>
      <c r="S34" s="90" t="s">
        <v>60</v>
      </c>
      <c r="T34" s="98"/>
      <c r="U34" s="174">
        <f>'CSG3'!K17</f>
        <v>9.8266770000000001</v>
      </c>
      <c r="V34" s="174"/>
      <c r="W34" s="112">
        <f>'CSG3'!K17</f>
        <v>9.8266770000000001</v>
      </c>
      <c r="X34" s="113"/>
      <c r="Y34" s="96">
        <f>'CSG3'!K17</f>
        <v>9.8266770000000001</v>
      </c>
      <c r="Z34" s="177"/>
      <c r="AA34" s="171">
        <f>'CSG3'!K17</f>
        <v>9.8266770000000001</v>
      </c>
      <c r="AB34" s="171"/>
      <c r="AI34" s="168" t="s">
        <v>60</v>
      </c>
      <c r="AJ34" s="169"/>
      <c r="AK34" s="92">
        <f>'CSG3'!K18</f>
        <v>6.8525299999999998</v>
      </c>
      <c r="AL34" s="92"/>
      <c r="AM34" s="92">
        <f>'CSG3'!K18</f>
        <v>6.8525299999999998</v>
      </c>
      <c r="AN34" s="92"/>
      <c r="AO34" s="92">
        <f>'CSG3'!K18</f>
        <v>6.8525299999999998</v>
      </c>
      <c r="AP34" s="92"/>
      <c r="AQ34" s="180">
        <f>'CSG3'!K18</f>
        <v>6.8525299999999998</v>
      </c>
      <c r="AR34" s="181"/>
    </row>
    <row r="35" spans="3:52">
      <c r="C35" s="126" t="s">
        <v>61</v>
      </c>
      <c r="D35" s="127"/>
      <c r="E35" s="98" t="s">
        <v>49</v>
      </c>
      <c r="F35" s="114"/>
      <c r="G35" s="119" t="s">
        <v>62</v>
      </c>
      <c r="H35" s="120"/>
      <c r="I35" s="119" t="s">
        <v>62</v>
      </c>
      <c r="J35" s="120"/>
      <c r="K35" s="119" t="s">
        <v>62</v>
      </c>
      <c r="L35" s="120"/>
      <c r="M35" s="2"/>
      <c r="N35" s="2"/>
      <c r="S35" s="90" t="s">
        <v>29</v>
      </c>
      <c r="T35" s="98"/>
      <c r="U35" s="92">
        <f>'CSG3'!L3</f>
        <v>2.1058568810999998</v>
      </c>
      <c r="V35" s="92"/>
      <c r="W35" s="92">
        <f>'CSG3'!L5</f>
        <v>1.6445510520602524</v>
      </c>
      <c r="X35" s="92"/>
      <c r="Y35" s="96">
        <f>'CSG3'!L11</f>
        <v>2.2579972694914043</v>
      </c>
      <c r="Z35" s="177"/>
      <c r="AA35" s="92">
        <f>'CSG3'!L17</f>
        <v>2.6470862041224801</v>
      </c>
      <c r="AB35" s="92"/>
      <c r="AI35" s="98" t="s">
        <v>29</v>
      </c>
      <c r="AJ35" s="170"/>
      <c r="AK35" s="92">
        <f>'CSG3'!L4</f>
        <v>1.4684971789999999</v>
      </c>
      <c r="AL35" s="90"/>
      <c r="AM35" s="92">
        <f>'CSG3'!L6</f>
        <v>1.1428195971002517</v>
      </c>
      <c r="AN35" s="90"/>
      <c r="AO35" s="92">
        <f>'CSG3'!L12</f>
        <v>1.5717718749514038</v>
      </c>
      <c r="AP35" s="90"/>
      <c r="AQ35" s="92">
        <f>'CSG3'!L18</f>
        <v>1.8381263108624804</v>
      </c>
      <c r="AR35" s="90"/>
    </row>
    <row r="36" spans="3:52">
      <c r="C36" s="90" t="s">
        <v>63</v>
      </c>
      <c r="D36" s="90"/>
      <c r="E36" s="134">
        <v>0.1313</v>
      </c>
      <c r="F36" s="129"/>
      <c r="G36" s="128">
        <v>0.1313</v>
      </c>
      <c r="H36" s="129"/>
      <c r="I36" s="128">
        <v>0.1313</v>
      </c>
      <c r="J36" s="129"/>
      <c r="K36" s="128">
        <v>0.1313</v>
      </c>
      <c r="L36" s="129"/>
      <c r="M36" s="2"/>
      <c r="N36" s="2"/>
      <c r="S36" s="90" t="s">
        <v>30</v>
      </c>
      <c r="T36" s="98"/>
      <c r="U36" s="91">
        <v>0</v>
      </c>
      <c r="V36" s="91"/>
      <c r="W36" s="96">
        <f>'CSG3'!M5</f>
        <v>0.92685217464000003</v>
      </c>
      <c r="X36" s="97"/>
      <c r="Y36" s="96">
        <f>'CSG3'!M11</f>
        <v>0.95495647086000002</v>
      </c>
      <c r="Z36" s="177"/>
      <c r="AA36" s="92">
        <f>'CSG3'!M17</f>
        <v>0.93766151934000008</v>
      </c>
      <c r="AB36" s="92"/>
      <c r="AI36" s="98" t="s">
        <v>30</v>
      </c>
      <c r="AJ36" s="170"/>
      <c r="AK36" s="91">
        <v>0</v>
      </c>
      <c r="AL36" s="91"/>
      <c r="AM36" s="92">
        <f>'CSG3'!M6</f>
        <v>0.64633062959999998</v>
      </c>
      <c r="AN36" s="90"/>
      <c r="AO36" s="92">
        <f>'CSG3'!M12</f>
        <v>0.66592886539999996</v>
      </c>
      <c r="AP36" s="90"/>
      <c r="AQ36" s="92">
        <f>'CSG3'!M18</f>
        <v>0.65386841260000006</v>
      </c>
      <c r="AR36" s="90"/>
    </row>
    <row r="37" spans="3:52">
      <c r="C37" s="90" t="s">
        <v>64</v>
      </c>
      <c r="D37" s="90"/>
      <c r="E37" s="96" t="s">
        <v>65</v>
      </c>
      <c r="F37" s="97"/>
      <c r="G37" s="96" t="s">
        <v>65</v>
      </c>
      <c r="H37" s="97"/>
      <c r="I37" s="96" t="s">
        <v>65</v>
      </c>
      <c r="J37" s="97"/>
      <c r="K37" s="96" t="s">
        <v>65</v>
      </c>
      <c r="L37" s="97"/>
      <c r="M37" s="2"/>
      <c r="N37" s="2"/>
      <c r="S37" s="90" t="s">
        <v>31</v>
      </c>
      <c r="T37" s="98"/>
      <c r="U37" s="92">
        <v>0</v>
      </c>
      <c r="V37" s="92"/>
      <c r="W37" s="96">
        <v>0</v>
      </c>
      <c r="X37" s="97"/>
      <c r="Y37" s="96">
        <v>0</v>
      </c>
      <c r="Z37" s="177"/>
      <c r="AA37" s="92">
        <v>0</v>
      </c>
      <c r="AB37" s="92"/>
      <c r="AI37" s="98" t="s">
        <v>31</v>
      </c>
      <c r="AJ37" s="170"/>
      <c r="AK37" s="92">
        <v>0</v>
      </c>
      <c r="AL37" s="92"/>
      <c r="AM37" s="92">
        <v>0</v>
      </c>
      <c r="AN37" s="92"/>
      <c r="AO37" s="92">
        <v>0</v>
      </c>
      <c r="AP37" s="92"/>
      <c r="AQ37" s="92">
        <v>0</v>
      </c>
      <c r="AR37" s="92"/>
    </row>
    <row r="38" spans="3:52">
      <c r="C38" s="89" t="s">
        <v>66</v>
      </c>
      <c r="D38" s="89"/>
      <c r="E38" s="90" t="s">
        <v>49</v>
      </c>
      <c r="F38" s="90"/>
      <c r="G38" s="90" t="s">
        <v>49</v>
      </c>
      <c r="H38" s="90"/>
      <c r="I38" s="90" t="s">
        <v>49</v>
      </c>
      <c r="J38" s="90"/>
      <c r="K38" s="90" t="s">
        <v>49</v>
      </c>
      <c r="L38" s="90"/>
      <c r="M38" s="2"/>
      <c r="N38" s="2"/>
      <c r="O38" s="7"/>
      <c r="S38" s="90" t="s">
        <v>32</v>
      </c>
      <c r="T38" s="98"/>
      <c r="U38" s="92">
        <v>0</v>
      </c>
      <c r="V38" s="92"/>
      <c r="W38" s="128">
        <v>0</v>
      </c>
      <c r="X38" s="129"/>
      <c r="Y38" s="96">
        <v>0</v>
      </c>
      <c r="Z38" s="177"/>
      <c r="AA38" s="92">
        <f>'CSG3'!O17</f>
        <v>-7.4339845887944683E-3</v>
      </c>
      <c r="AB38" s="92"/>
      <c r="AI38" s="98" t="s">
        <v>32</v>
      </c>
      <c r="AJ38" s="170"/>
      <c r="AK38" s="92">
        <v>0</v>
      </c>
      <c r="AL38" s="92"/>
      <c r="AM38" s="92">
        <v>0</v>
      </c>
      <c r="AN38" s="92"/>
      <c r="AO38" s="92">
        <v>0</v>
      </c>
      <c r="AP38" s="92"/>
      <c r="AQ38" s="92">
        <f>'CSG3'!O18</f>
        <v>-7.4339845887944683E-3</v>
      </c>
      <c r="AR38" s="92"/>
    </row>
    <row r="39" spans="3:52">
      <c r="C39" s="90" t="s">
        <v>67</v>
      </c>
      <c r="D39" s="90"/>
      <c r="E39" s="90" t="s">
        <v>49</v>
      </c>
      <c r="F39" s="90"/>
      <c r="G39" s="90" t="s">
        <v>49</v>
      </c>
      <c r="H39" s="90"/>
      <c r="I39" s="90" t="s">
        <v>49</v>
      </c>
      <c r="J39" s="90"/>
      <c r="K39" s="90" t="s">
        <v>49</v>
      </c>
      <c r="L39" s="90"/>
      <c r="M39" s="2"/>
      <c r="N39" s="2"/>
      <c r="O39" s="7"/>
      <c r="S39" s="90" t="s">
        <v>33</v>
      </c>
      <c r="T39" s="98"/>
      <c r="U39" s="92">
        <v>0</v>
      </c>
      <c r="V39" s="96"/>
      <c r="W39" s="92">
        <v>0</v>
      </c>
      <c r="X39" s="92"/>
      <c r="Y39" s="96">
        <v>0</v>
      </c>
      <c r="Z39" s="177"/>
      <c r="AA39" s="92">
        <v>0</v>
      </c>
      <c r="AB39" s="92"/>
      <c r="AI39" s="98" t="s">
        <v>33</v>
      </c>
      <c r="AJ39" s="114"/>
      <c r="AK39" s="96">
        <v>0</v>
      </c>
      <c r="AL39" s="97"/>
      <c r="AM39" s="96">
        <v>0</v>
      </c>
      <c r="AN39" s="97"/>
      <c r="AO39" s="92">
        <v>0</v>
      </c>
      <c r="AP39" s="92"/>
      <c r="AQ39" s="92">
        <v>0</v>
      </c>
      <c r="AR39" s="92"/>
    </row>
    <row r="40" spans="3:52">
      <c r="C40" s="90" t="s">
        <v>68</v>
      </c>
      <c r="D40" s="90"/>
      <c r="E40" s="90" t="s">
        <v>49</v>
      </c>
      <c r="F40" s="90"/>
      <c r="G40" s="90" t="s">
        <v>49</v>
      </c>
      <c r="H40" s="90"/>
      <c r="I40" s="90" t="s">
        <v>49</v>
      </c>
      <c r="J40" s="90"/>
      <c r="K40" s="90" t="s">
        <v>49</v>
      </c>
      <c r="L40" s="90"/>
      <c r="M40" s="2"/>
      <c r="N40" s="2"/>
      <c r="O40" s="7"/>
      <c r="S40" s="90" t="s">
        <v>69</v>
      </c>
      <c r="T40" s="98"/>
      <c r="U40" s="92">
        <v>0</v>
      </c>
      <c r="V40" s="92"/>
      <c r="W40" s="112">
        <f>'CSG3'!Q5</f>
        <v>-4.7780226700251886E-2</v>
      </c>
      <c r="X40" s="113"/>
      <c r="Y40" s="96">
        <f>'CSG3'!Q11</f>
        <v>-2.6730740351404114E-2</v>
      </c>
      <c r="Z40" s="177"/>
      <c r="AA40" s="174">
        <f>'CSG3'!Q17</f>
        <v>-9.0090738873685711E-2</v>
      </c>
      <c r="AB40" s="174"/>
      <c r="AI40" s="98" t="s">
        <v>69</v>
      </c>
      <c r="AJ40" s="114"/>
      <c r="AK40" s="96">
        <v>0</v>
      </c>
      <c r="AL40" s="97"/>
      <c r="AM40" s="92">
        <f>'CSG3'!Q6</f>
        <v>-4.7780226700251886E-2</v>
      </c>
      <c r="AN40" s="92"/>
      <c r="AO40" s="92">
        <f>'CSG3'!Q12</f>
        <v>-2.6730740351404114E-2</v>
      </c>
      <c r="AP40" s="92"/>
      <c r="AQ40" s="92">
        <f>'CSG3'!Q18</f>
        <v>-9.0090738873685711E-2</v>
      </c>
      <c r="AR40" s="92"/>
    </row>
    <row r="41" spans="3:52">
      <c r="C41" s="90" t="s">
        <v>70</v>
      </c>
      <c r="D41" s="90"/>
      <c r="E41" s="90" t="s">
        <v>49</v>
      </c>
      <c r="F41" s="90"/>
      <c r="G41" s="90" t="s">
        <v>71</v>
      </c>
      <c r="H41" s="90"/>
      <c r="I41" s="90" t="s">
        <v>71</v>
      </c>
      <c r="J41" s="90"/>
      <c r="K41" s="90" t="s">
        <v>71</v>
      </c>
      <c r="L41" s="90"/>
      <c r="M41" s="2"/>
      <c r="N41" s="2"/>
      <c r="O41" s="7"/>
      <c r="S41" s="90" t="s">
        <v>34</v>
      </c>
      <c r="T41" s="98"/>
      <c r="U41" s="92">
        <v>0</v>
      </c>
      <c r="V41" s="92"/>
      <c r="W41" s="96">
        <v>0</v>
      </c>
      <c r="X41" s="97"/>
      <c r="Y41" s="96">
        <v>0</v>
      </c>
      <c r="Z41" s="177"/>
      <c r="AA41" s="92">
        <v>0</v>
      </c>
      <c r="AB41" s="92"/>
      <c r="AI41" s="168" t="s">
        <v>34</v>
      </c>
      <c r="AJ41" s="169"/>
      <c r="AK41" s="171">
        <v>0</v>
      </c>
      <c r="AL41" s="171"/>
      <c r="AM41" s="171">
        <v>0</v>
      </c>
      <c r="AN41" s="171"/>
      <c r="AO41" s="171">
        <v>0</v>
      </c>
      <c r="AP41" s="171"/>
      <c r="AQ41" s="171">
        <v>0</v>
      </c>
      <c r="AR41" s="171"/>
    </row>
    <row r="42" spans="3:52">
      <c r="C42" s="90" t="s">
        <v>72</v>
      </c>
      <c r="D42" s="90"/>
      <c r="E42" s="90" t="s">
        <v>49</v>
      </c>
      <c r="F42" s="90"/>
      <c r="G42" s="90" t="s">
        <v>73</v>
      </c>
      <c r="H42" s="90"/>
      <c r="I42" s="90" t="s">
        <v>73</v>
      </c>
      <c r="J42" s="90"/>
      <c r="K42" s="90" t="s">
        <v>73</v>
      </c>
      <c r="L42" s="90"/>
      <c r="M42" s="2"/>
      <c r="N42" s="2"/>
      <c r="O42" s="7"/>
      <c r="S42" s="99" t="s">
        <v>37</v>
      </c>
      <c r="T42" s="100"/>
      <c r="U42" s="172">
        <v>11.932499999999999</v>
      </c>
      <c r="V42" s="172"/>
      <c r="W42" s="175">
        <v>12.350300000000001</v>
      </c>
      <c r="X42" s="178"/>
      <c r="Y42" s="175">
        <v>13.0129</v>
      </c>
      <c r="Z42" s="179"/>
      <c r="AA42" s="172">
        <v>13.3139</v>
      </c>
      <c r="AB42" s="172"/>
      <c r="AI42" s="135" t="s">
        <v>37</v>
      </c>
      <c r="AJ42" s="135"/>
      <c r="AK42" s="172">
        <f>SUM(AK34:AK41)</f>
        <v>8.3210271789999997</v>
      </c>
      <c r="AL42" s="173"/>
      <c r="AM42" s="172">
        <v>8.5938999999999997</v>
      </c>
      <c r="AN42" s="173"/>
      <c r="AO42" s="172">
        <v>9.0634999999999994</v>
      </c>
      <c r="AP42" s="172"/>
      <c r="AQ42" s="172">
        <v>9.2469999999999999</v>
      </c>
      <c r="AR42" s="172"/>
    </row>
    <row r="43" spans="3:52">
      <c r="C43" s="131" t="s">
        <v>28</v>
      </c>
      <c r="D43" s="132"/>
      <c r="E43" s="93">
        <v>0.21429999999999999</v>
      </c>
      <c r="F43" s="89"/>
      <c r="G43" s="93">
        <v>0.27039999999999997</v>
      </c>
      <c r="H43" s="89"/>
      <c r="I43" s="93">
        <v>0.33179999999999998</v>
      </c>
      <c r="J43" s="89"/>
      <c r="K43" s="93">
        <v>0.3886</v>
      </c>
      <c r="L43" s="89"/>
      <c r="M43" s="2"/>
      <c r="N43" s="2"/>
      <c r="U43" s="88"/>
      <c r="V43" s="88"/>
      <c r="W43" s="88"/>
      <c r="X43" s="88"/>
    </row>
    <row r="44" spans="3:52">
      <c r="C44" s="117" t="s">
        <v>30</v>
      </c>
      <c r="D44" s="107"/>
      <c r="E44" s="91">
        <v>0</v>
      </c>
      <c r="F44" s="91"/>
      <c r="G44" s="94">
        <v>0.94320000000000004</v>
      </c>
      <c r="H44" s="90"/>
      <c r="I44" s="94">
        <v>0.9718</v>
      </c>
      <c r="J44" s="90"/>
      <c r="K44" s="94">
        <v>0.95420000000000005</v>
      </c>
      <c r="L44" s="90"/>
      <c r="M44" s="2"/>
      <c r="N44" s="2"/>
      <c r="O44" s="6"/>
    </row>
    <row r="45" spans="3:52">
      <c r="C45" s="117" t="s">
        <v>31</v>
      </c>
      <c r="D45" s="107"/>
      <c r="E45" s="91">
        <v>0</v>
      </c>
      <c r="F45" s="91"/>
      <c r="G45" s="91">
        <v>0</v>
      </c>
      <c r="H45" s="91"/>
      <c r="I45" s="91">
        <v>0</v>
      </c>
      <c r="J45" s="91"/>
      <c r="K45" s="91">
        <v>0</v>
      </c>
      <c r="L45" s="91"/>
      <c r="M45" s="2"/>
      <c r="N45" s="2"/>
      <c r="Q45" s="2"/>
      <c r="R45" s="2"/>
      <c r="S45" s="2" t="s">
        <v>39</v>
      </c>
      <c r="T45" s="2"/>
      <c r="U45" s="2"/>
      <c r="V45" s="2"/>
      <c r="Z45" s="88"/>
      <c r="AA45" s="88"/>
      <c r="AB45" s="88"/>
      <c r="AC45" s="88"/>
      <c r="AD45" s="88"/>
      <c r="AE45" s="88"/>
      <c r="AI45" s="88"/>
      <c r="AJ45" s="88"/>
      <c r="AK45" s="88"/>
      <c r="AL45" s="88"/>
      <c r="AM45" s="88"/>
      <c r="AN45" s="88"/>
      <c r="AR45" s="45"/>
      <c r="AS45" s="45"/>
      <c r="AT45" s="45"/>
      <c r="AU45" s="45"/>
      <c r="AV45" s="45"/>
      <c r="AW45" s="45"/>
      <c r="AX45" s="45"/>
      <c r="AY45" s="45"/>
      <c r="AZ45" s="49"/>
    </row>
    <row r="46" spans="3:52">
      <c r="C46" s="117" t="s">
        <v>32</v>
      </c>
      <c r="D46" s="107"/>
      <c r="E46" s="91">
        <v>0</v>
      </c>
      <c r="F46" s="91"/>
      <c r="G46" s="91">
        <v>0</v>
      </c>
      <c r="H46" s="91"/>
      <c r="I46" s="91">
        <v>0</v>
      </c>
      <c r="J46" s="91"/>
      <c r="K46" s="95">
        <v>-1.0322830999999999E-2</v>
      </c>
      <c r="L46" s="95"/>
      <c r="N46" s="2"/>
      <c r="O46" s="8"/>
      <c r="P46" s="8"/>
      <c r="Q46" s="8"/>
      <c r="R46" s="176" t="s">
        <v>74</v>
      </c>
      <c r="S46" s="176"/>
      <c r="T46" s="176"/>
      <c r="U46" s="176"/>
      <c r="V46" s="176"/>
      <c r="W46" s="176"/>
      <c r="X46" s="176"/>
      <c r="Z46" s="88" t="s">
        <v>75</v>
      </c>
      <c r="AA46" s="88"/>
      <c r="AB46" s="88"/>
      <c r="AC46" s="88"/>
      <c r="AD46" s="88"/>
      <c r="AE46" s="88"/>
      <c r="AF46" s="88"/>
      <c r="AI46" s="88" t="s">
        <v>76</v>
      </c>
      <c r="AJ46" s="88"/>
      <c r="AK46" s="88"/>
      <c r="AL46" s="88"/>
      <c r="AM46" s="88"/>
      <c r="AN46" s="88"/>
      <c r="AO46" s="88"/>
      <c r="AP46" s="88"/>
    </row>
    <row r="47" spans="3:52" ht="13.5" customHeight="1">
      <c r="C47" s="117" t="s">
        <v>33</v>
      </c>
      <c r="D47" s="107"/>
      <c r="E47" s="91">
        <v>0</v>
      </c>
      <c r="F47" s="91"/>
      <c r="G47" s="91">
        <v>0</v>
      </c>
      <c r="H47" s="91"/>
      <c r="I47" s="91">
        <v>0</v>
      </c>
      <c r="J47" s="91"/>
      <c r="K47" s="91">
        <v>0</v>
      </c>
      <c r="L47" s="91"/>
      <c r="M47" s="2"/>
      <c r="P47" s="2"/>
      <c r="R47" t="s">
        <v>77</v>
      </c>
      <c r="T47" s="2"/>
      <c r="U47" s="2"/>
      <c r="V47" s="2"/>
      <c r="Z47" s="98" t="s">
        <v>25</v>
      </c>
      <c r="AA47" s="114"/>
      <c r="AB47" s="123" t="s">
        <v>18</v>
      </c>
      <c r="AC47" s="124"/>
      <c r="AD47" s="117" t="s">
        <v>78</v>
      </c>
      <c r="AE47" s="107"/>
      <c r="AF47" s="90" t="s">
        <v>22</v>
      </c>
      <c r="AG47" s="90"/>
      <c r="AI47" s="98" t="s">
        <v>25</v>
      </c>
      <c r="AJ47" s="114"/>
      <c r="AK47" s="123" t="s">
        <v>18</v>
      </c>
      <c r="AL47" s="124"/>
      <c r="AM47" s="117" t="s">
        <v>20</v>
      </c>
      <c r="AN47" s="107"/>
      <c r="AO47" s="144" t="s">
        <v>22</v>
      </c>
      <c r="AP47" s="144"/>
    </row>
    <row r="48" spans="3:52">
      <c r="C48" s="125" t="s">
        <v>69</v>
      </c>
      <c r="D48" s="126"/>
      <c r="E48" s="91">
        <v>0</v>
      </c>
      <c r="F48" s="91"/>
      <c r="G48" s="92" t="s">
        <v>79</v>
      </c>
      <c r="H48" s="92"/>
      <c r="I48" s="92">
        <v>-3.56E-2</v>
      </c>
      <c r="J48" s="92"/>
      <c r="K48" s="92" t="s">
        <v>80</v>
      </c>
      <c r="L48" s="92"/>
      <c r="M48" s="2"/>
      <c r="N48" s="2"/>
      <c r="P48" s="13"/>
      <c r="R48" t="s">
        <v>81</v>
      </c>
      <c r="T48" s="2"/>
      <c r="U48" s="2"/>
      <c r="V48" s="2"/>
      <c r="Z48" s="90" t="s">
        <v>60</v>
      </c>
      <c r="AA48" s="90"/>
      <c r="AB48" s="92">
        <f>'CSG3'!K19</f>
        <v>6.8939399999999997</v>
      </c>
      <c r="AC48" s="92"/>
      <c r="AD48" s="174">
        <f>'CSG3'!K19</f>
        <v>6.8939399999999997</v>
      </c>
      <c r="AE48" s="112"/>
      <c r="AF48" s="92">
        <f>'CSG3'!K19</f>
        <v>6.8939399999999997</v>
      </c>
      <c r="AG48" s="92"/>
      <c r="AI48" s="90" t="s">
        <v>60</v>
      </c>
      <c r="AJ48" s="90"/>
      <c r="AK48" s="174">
        <f>'CSG3'!K20</f>
        <v>7.1898699999999991</v>
      </c>
      <c r="AL48" s="174"/>
      <c r="AM48" s="174">
        <f>'CSG3'!K20</f>
        <v>7.1898699999999991</v>
      </c>
      <c r="AN48" s="112"/>
      <c r="AO48" s="92">
        <f>'CSG3'!K20</f>
        <v>7.1898699999999991</v>
      </c>
      <c r="AP48" s="92"/>
    </row>
    <row r="49" spans="3:42">
      <c r="C49" s="90" t="s">
        <v>34</v>
      </c>
      <c r="D49" s="98"/>
      <c r="E49" s="91">
        <v>0</v>
      </c>
      <c r="F49" s="91"/>
      <c r="G49" s="91">
        <v>0</v>
      </c>
      <c r="H49" s="91"/>
      <c r="I49" s="91">
        <v>0</v>
      </c>
      <c r="J49" s="91"/>
      <c r="K49" s="91">
        <v>0</v>
      </c>
      <c r="L49" s="91"/>
      <c r="M49" s="2"/>
      <c r="N49" s="2"/>
      <c r="P49" s="2"/>
      <c r="R49" s="9" t="s">
        <v>82</v>
      </c>
      <c r="T49" s="2"/>
      <c r="U49" s="2"/>
      <c r="V49" s="2"/>
      <c r="Z49" s="90" t="s">
        <v>29</v>
      </c>
      <c r="AA49" s="90"/>
      <c r="AB49" s="92">
        <f>'CSG3'!L7</f>
        <v>1.1498038059002522</v>
      </c>
      <c r="AC49" s="90"/>
      <c r="AD49" s="92">
        <f>'CSG3'!L13</f>
        <v>1.5793376511514046</v>
      </c>
      <c r="AE49" s="90"/>
      <c r="AF49" s="92">
        <f>'CSG3'!L19</f>
        <v>1.8494649686624796</v>
      </c>
      <c r="AG49" s="90"/>
      <c r="AI49" s="90" t="s">
        <v>29</v>
      </c>
      <c r="AJ49" s="90"/>
      <c r="AK49" s="92">
        <f>'CSG3'!L8</f>
        <v>1.1996616883002527</v>
      </c>
      <c r="AL49" s="90"/>
      <c r="AM49" s="92">
        <f>'CSG3'!L14</f>
        <v>1.6525491737514053</v>
      </c>
      <c r="AN49" s="98"/>
      <c r="AO49" s="174">
        <f>'CSG3'!L20</f>
        <v>1.9298973280624807</v>
      </c>
      <c r="AP49" s="174"/>
    </row>
    <row r="50" spans="3:42">
      <c r="C50" s="87" t="s">
        <v>83</v>
      </c>
      <c r="D50" s="87"/>
      <c r="E50" s="87"/>
      <c r="F50" s="87"/>
      <c r="N50" s="2"/>
      <c r="R50" s="193" t="s">
        <v>84</v>
      </c>
      <c r="T50" s="2"/>
      <c r="U50" s="2"/>
      <c r="V50" s="2"/>
      <c r="Z50" s="90" t="s">
        <v>30</v>
      </c>
      <c r="AA50" s="90"/>
      <c r="AB50" s="92">
        <f>'CSG3'!M7</f>
        <v>0.6502364208000001</v>
      </c>
      <c r="AC50" s="90"/>
      <c r="AD50" s="92">
        <f>'CSG3'!M13</f>
        <v>0.66995308920000007</v>
      </c>
      <c r="AE50" s="90"/>
      <c r="AF50" s="171">
        <f>'CSG3'!M19</f>
        <v>0.6578197548000001</v>
      </c>
      <c r="AG50" s="171"/>
      <c r="AI50" s="90" t="s">
        <v>30</v>
      </c>
      <c r="AJ50" s="90"/>
      <c r="AK50" s="92">
        <f>'CSG3'!M8</f>
        <v>0.6781485384</v>
      </c>
      <c r="AL50" s="90"/>
      <c r="AM50" s="92">
        <f>'CSG3'!M14</f>
        <v>0.69871156659999989</v>
      </c>
      <c r="AN50" s="98"/>
      <c r="AO50" s="92">
        <f>'CSG3'!M20</f>
        <v>0.68605739539999999</v>
      </c>
      <c r="AP50" s="92"/>
    </row>
    <row r="51" spans="3:42">
      <c r="C51" t="s">
        <v>85</v>
      </c>
      <c r="R51" s="193" t="s">
        <v>86</v>
      </c>
      <c r="T51" s="2"/>
      <c r="U51" s="2"/>
      <c r="V51" s="2"/>
      <c r="Y51" s="10"/>
      <c r="Z51" s="90" t="s">
        <v>31</v>
      </c>
      <c r="AA51" s="90"/>
      <c r="AB51" s="92">
        <v>0</v>
      </c>
      <c r="AC51" s="92"/>
      <c r="AD51" s="92">
        <v>0</v>
      </c>
      <c r="AE51" s="96"/>
      <c r="AF51" s="92">
        <v>0</v>
      </c>
      <c r="AG51" s="92"/>
      <c r="AI51" s="90" t="s">
        <v>31</v>
      </c>
      <c r="AJ51" s="90"/>
      <c r="AK51" s="92">
        <v>0</v>
      </c>
      <c r="AL51" s="92"/>
      <c r="AM51" s="92">
        <v>0</v>
      </c>
      <c r="AN51" s="96"/>
      <c r="AO51" s="92">
        <f>0</f>
        <v>0</v>
      </c>
      <c r="AP51" s="92"/>
    </row>
    <row r="52" spans="3:42">
      <c r="R52" s="193" t="s">
        <v>87</v>
      </c>
      <c r="T52" s="2"/>
      <c r="U52" s="2"/>
      <c r="V52" s="2"/>
      <c r="Z52" s="90" t="s">
        <v>32</v>
      </c>
      <c r="AA52" s="90"/>
      <c r="AB52" s="92">
        <v>0</v>
      </c>
      <c r="AC52" s="92"/>
      <c r="AD52" s="92">
        <v>0</v>
      </c>
      <c r="AE52" s="96"/>
      <c r="AF52" s="92">
        <f>'CSG3'!O19</f>
        <v>-7.4339845887944683E-3</v>
      </c>
      <c r="AG52" s="92"/>
      <c r="AI52" s="90" t="s">
        <v>32</v>
      </c>
      <c r="AJ52" s="90"/>
      <c r="AK52" s="92">
        <v>0</v>
      </c>
      <c r="AL52" s="92"/>
      <c r="AM52" s="92">
        <v>0</v>
      </c>
      <c r="AN52" s="96"/>
      <c r="AO52" s="92">
        <f>'CSG3'!O20</f>
        <v>-7.4339845887944683E-3</v>
      </c>
      <c r="AP52" s="92"/>
    </row>
    <row r="53" spans="3:42">
      <c r="R53" s="193" t="s">
        <v>42</v>
      </c>
      <c r="T53" s="2"/>
      <c r="U53" s="2"/>
      <c r="V53" s="2"/>
      <c r="Z53" s="90" t="s">
        <v>33</v>
      </c>
      <c r="AA53" s="90"/>
      <c r="AB53" s="96">
        <v>0</v>
      </c>
      <c r="AC53" s="97"/>
      <c r="AD53" s="92">
        <v>0</v>
      </c>
      <c r="AE53" s="92"/>
      <c r="AF53" s="182">
        <v>0</v>
      </c>
      <c r="AG53" s="182"/>
      <c r="AI53" s="90" t="s">
        <v>33</v>
      </c>
      <c r="AJ53" s="90"/>
      <c r="AK53" s="96">
        <v>0</v>
      </c>
      <c r="AL53" s="97"/>
      <c r="AM53" s="92">
        <v>0</v>
      </c>
      <c r="AN53" s="96"/>
      <c r="AO53" s="92">
        <f>0</f>
        <v>0</v>
      </c>
      <c r="AP53" s="92"/>
    </row>
    <row r="54" spans="3:42">
      <c r="R54" s="193" t="s">
        <v>46</v>
      </c>
      <c r="T54" s="2"/>
      <c r="U54" s="2"/>
      <c r="V54" s="2"/>
      <c r="Z54" s="90" t="s">
        <v>69</v>
      </c>
      <c r="AA54" s="90"/>
      <c r="AB54" s="92">
        <f>'CSG3'!Q7</f>
        <v>-4.7780226700251886E-2</v>
      </c>
      <c r="AC54" s="92"/>
      <c r="AD54" s="92">
        <f>'CSG3'!Q13</f>
        <v>-2.6730740351404114E-2</v>
      </c>
      <c r="AE54" s="92"/>
      <c r="AF54" s="171">
        <f>'CSG3'!Q19</f>
        <v>-9.0090738873685711E-2</v>
      </c>
      <c r="AG54" s="171"/>
      <c r="AI54" s="90" t="s">
        <v>69</v>
      </c>
      <c r="AJ54" s="90"/>
      <c r="AK54" s="92">
        <f>'CSG3'!Q8</f>
        <v>-4.7780226700251886E-2</v>
      </c>
      <c r="AL54" s="92"/>
      <c r="AM54" s="92">
        <f>'CSG3'!Q14</f>
        <v>-2.6730740351404114E-2</v>
      </c>
      <c r="AN54" s="96"/>
      <c r="AO54" s="92">
        <f>'CSG3'!Q20</f>
        <v>-9.0090738873685711E-2</v>
      </c>
      <c r="AP54" s="92"/>
    </row>
    <row r="55" spans="3:42">
      <c r="R55" s="193" t="s">
        <v>43</v>
      </c>
      <c r="T55" s="2"/>
      <c r="U55" s="2"/>
      <c r="V55" s="2"/>
      <c r="Z55" s="90" t="s">
        <v>34</v>
      </c>
      <c r="AA55" s="90"/>
      <c r="AB55" s="171">
        <v>0</v>
      </c>
      <c r="AC55" s="171"/>
      <c r="AD55" s="171">
        <v>0</v>
      </c>
      <c r="AE55" s="128"/>
      <c r="AF55" s="92">
        <v>0</v>
      </c>
      <c r="AG55" s="92"/>
      <c r="AI55" s="90" t="s">
        <v>34</v>
      </c>
      <c r="AJ55" s="90"/>
      <c r="AK55" s="171">
        <v>0</v>
      </c>
      <c r="AL55" s="171"/>
      <c r="AM55" s="171">
        <v>0</v>
      </c>
      <c r="AN55" s="128"/>
      <c r="AO55" s="171">
        <v>0</v>
      </c>
      <c r="AP55" s="171"/>
    </row>
    <row r="56" spans="3:42">
      <c r="R56" s="193" t="s">
        <v>47</v>
      </c>
      <c r="Z56" s="135" t="s">
        <v>37</v>
      </c>
      <c r="AA56" s="135"/>
      <c r="AB56" s="172">
        <v>8.6462000000000003</v>
      </c>
      <c r="AC56" s="173"/>
      <c r="AD56" s="172">
        <v>9.1165000000000003</v>
      </c>
      <c r="AE56" s="175"/>
      <c r="AF56" s="172" t="s">
        <v>88</v>
      </c>
      <c r="AG56" s="172"/>
      <c r="AI56" s="135" t="s">
        <v>37</v>
      </c>
      <c r="AJ56" s="135"/>
      <c r="AK56" s="172">
        <v>9.0198999999999998</v>
      </c>
      <c r="AL56" s="173"/>
      <c r="AM56" s="172">
        <v>9.5114000000000001</v>
      </c>
      <c r="AN56" s="175"/>
      <c r="AO56" s="183">
        <f>'CSG3'!S20</f>
        <v>9.7082999999999995</v>
      </c>
      <c r="AP56" s="183"/>
    </row>
    <row r="57" spans="3:42">
      <c r="R57" s="193" t="s">
        <v>44</v>
      </c>
    </row>
    <row r="58" spans="3:42">
      <c r="R58" s="193" t="s">
        <v>89</v>
      </c>
    </row>
    <row r="59" spans="3:42">
      <c r="R59" s="193" t="s">
        <v>90</v>
      </c>
      <c r="Z59" s="88"/>
      <c r="AA59" s="88"/>
      <c r="AB59" s="88"/>
      <c r="AC59" s="88"/>
      <c r="AD59" s="88"/>
      <c r="AE59" s="88"/>
      <c r="AI59" s="88"/>
      <c r="AJ59" s="88"/>
      <c r="AK59" s="88"/>
      <c r="AL59" s="88"/>
      <c r="AM59" s="88"/>
      <c r="AN59" s="88"/>
    </row>
    <row r="60" spans="3:42">
      <c r="Z60" s="88" t="s">
        <v>91</v>
      </c>
      <c r="AA60" s="88"/>
      <c r="AB60" s="88"/>
      <c r="AC60" s="88"/>
      <c r="AD60" s="88"/>
      <c r="AE60" s="88"/>
      <c r="AF60" s="88"/>
      <c r="AG60" s="88"/>
      <c r="AI60" s="88" t="s">
        <v>92</v>
      </c>
      <c r="AJ60" s="88"/>
      <c r="AK60" s="88"/>
      <c r="AL60" s="88"/>
      <c r="AM60" s="88"/>
      <c r="AN60" s="88"/>
      <c r="AO60" s="88"/>
      <c r="AP60" s="88"/>
    </row>
    <row r="61" spans="3:42">
      <c r="Z61" s="98" t="s">
        <v>25</v>
      </c>
      <c r="AA61" s="114"/>
      <c r="AB61" s="123" t="s">
        <v>18</v>
      </c>
      <c r="AC61" s="124"/>
      <c r="AD61" s="117" t="s">
        <v>20</v>
      </c>
      <c r="AE61" s="107"/>
      <c r="AF61" s="90" t="s">
        <v>22</v>
      </c>
      <c r="AG61" s="90"/>
      <c r="AI61" s="98" t="s">
        <v>25</v>
      </c>
      <c r="AJ61" s="114"/>
      <c r="AK61" s="123" t="s">
        <v>18</v>
      </c>
      <c r="AL61" s="124"/>
      <c r="AM61" s="117" t="s">
        <v>20</v>
      </c>
      <c r="AN61" s="107"/>
      <c r="AO61" s="90" t="s">
        <v>22</v>
      </c>
      <c r="AP61" s="90"/>
    </row>
    <row r="62" spans="3:42">
      <c r="Z62" s="90" t="s">
        <v>60</v>
      </c>
      <c r="AA62" s="90"/>
      <c r="AB62" s="174">
        <f>'CSG3'!K21</f>
        <v>8.4996379999999991</v>
      </c>
      <c r="AC62" s="174"/>
      <c r="AD62" s="174">
        <f>'CSG3'!K21</f>
        <v>8.4996379999999991</v>
      </c>
      <c r="AE62" s="174"/>
      <c r="AF62" s="174">
        <f>'CSG3'!K21</f>
        <v>8.4996379999999991</v>
      </c>
      <c r="AG62" s="174"/>
      <c r="AI62" s="90" t="s">
        <v>60</v>
      </c>
      <c r="AJ62" s="90"/>
      <c r="AK62" s="174">
        <f>'CSG3'!K22</f>
        <v>7.8520260000000004</v>
      </c>
      <c r="AL62" s="174"/>
      <c r="AM62" s="174">
        <f>'CSG3'!K22</f>
        <v>7.8520260000000004</v>
      </c>
      <c r="AN62" s="112"/>
      <c r="AO62" s="92">
        <f>'CSG3'!K22</f>
        <v>7.8520260000000004</v>
      </c>
      <c r="AP62" s="90"/>
    </row>
    <row r="63" spans="3:42">
      <c r="Z63" s="90" t="s">
        <v>29</v>
      </c>
      <c r="AA63" s="90"/>
      <c r="AB63" s="92">
        <f>'CSG3'!L9</f>
        <v>1.4204563705402522</v>
      </c>
      <c r="AC63" s="90"/>
      <c r="AD63" s="92">
        <f>'CSG3'!L15</f>
        <v>1.9514979195114057</v>
      </c>
      <c r="AE63" s="98"/>
      <c r="AF63" s="174">
        <f>'CSG3'!L21</f>
        <v>2.28645126550248</v>
      </c>
      <c r="AG63" s="174"/>
      <c r="AI63" s="90" t="s">
        <v>29</v>
      </c>
      <c r="AJ63" s="90"/>
      <c r="AK63" s="92">
        <f>'CSG3'!L10</f>
        <v>1.3112511343802509</v>
      </c>
      <c r="AL63" s="90"/>
      <c r="AM63" s="92">
        <f>'CSG3'!L16</f>
        <v>1.8021448536714029</v>
      </c>
      <c r="AN63" s="98"/>
      <c r="AO63" s="92">
        <f>'CSG3'!L22</f>
        <v>2.1101584025424787</v>
      </c>
      <c r="AP63" s="92"/>
    </row>
    <row r="64" spans="3:42">
      <c r="Z64" s="90" t="s">
        <v>30</v>
      </c>
      <c r="AA64" s="90"/>
      <c r="AB64" s="92">
        <f>'CSG3'!M9</f>
        <v>0.80168585615999999</v>
      </c>
      <c r="AC64" s="90"/>
      <c r="AD64" s="92">
        <f>'CSG3'!M15</f>
        <v>0.82599482083999998</v>
      </c>
      <c r="AE64" s="98"/>
      <c r="AF64" s="92">
        <f>'CSG3'!M21</f>
        <v>0.81103545795999998</v>
      </c>
      <c r="AG64" s="92"/>
      <c r="AI64" s="90" t="s">
        <v>30</v>
      </c>
      <c r="AJ64" s="90"/>
      <c r="AK64" s="92">
        <f>'CSG3'!M10</f>
        <v>0.7406030923200001</v>
      </c>
      <c r="AL64" s="90"/>
      <c r="AM64" s="92">
        <f>'CSG3'!M16</f>
        <v>0.76305988668000013</v>
      </c>
      <c r="AN64" s="98"/>
      <c r="AO64" s="92">
        <f>'CSG3'!M22</f>
        <v>0.74924032092000015</v>
      </c>
      <c r="AP64" s="92"/>
    </row>
    <row r="65" spans="17:42">
      <c r="Z65" s="90" t="s">
        <v>31</v>
      </c>
      <c r="AA65" s="90"/>
      <c r="AB65" s="92">
        <v>0</v>
      </c>
      <c r="AC65" s="92"/>
      <c r="AD65" s="92">
        <v>0</v>
      </c>
      <c r="AE65" s="96"/>
      <c r="AF65" s="92">
        <v>0</v>
      </c>
      <c r="AG65" s="92"/>
      <c r="AI65" s="90" t="s">
        <v>31</v>
      </c>
      <c r="AJ65" s="90"/>
      <c r="AK65" s="92">
        <v>0</v>
      </c>
      <c r="AL65" s="92"/>
      <c r="AM65" s="92">
        <v>0</v>
      </c>
      <c r="AN65" s="96"/>
      <c r="AO65" s="92">
        <v>0</v>
      </c>
      <c r="AP65" s="92"/>
    </row>
    <row r="66" spans="17:42">
      <c r="Z66" s="90" t="s">
        <v>32</v>
      </c>
      <c r="AA66" s="90"/>
      <c r="AB66" s="92">
        <v>0</v>
      </c>
      <c r="AC66" s="92"/>
      <c r="AD66" s="92">
        <v>0</v>
      </c>
      <c r="AE66" s="96"/>
      <c r="AF66" s="92">
        <f>'CSG3'!O21</f>
        <v>-7.4339845887944683E-3</v>
      </c>
      <c r="AG66" s="92"/>
      <c r="AI66" s="90" t="s">
        <v>32</v>
      </c>
      <c r="AJ66" s="90"/>
      <c r="AK66" s="92">
        <v>0</v>
      </c>
      <c r="AL66" s="92"/>
      <c r="AM66" s="92">
        <v>0</v>
      </c>
      <c r="AN66" s="96"/>
      <c r="AO66" s="92">
        <f>'CSG3'!O22</f>
        <v>-7.4339845887944683E-3</v>
      </c>
      <c r="AP66" s="92"/>
    </row>
    <row r="67" spans="17:42">
      <c r="Z67" s="90" t="s">
        <v>33</v>
      </c>
      <c r="AA67" s="90"/>
      <c r="AB67" s="96">
        <v>0</v>
      </c>
      <c r="AC67" s="97"/>
      <c r="AD67" s="92">
        <v>0</v>
      </c>
      <c r="AE67" s="96"/>
      <c r="AF67" s="92">
        <v>0</v>
      </c>
      <c r="AG67" s="92"/>
      <c r="AI67" s="90" t="s">
        <v>33</v>
      </c>
      <c r="AJ67" s="90"/>
      <c r="AK67" s="96">
        <v>0</v>
      </c>
      <c r="AL67" s="97"/>
      <c r="AM67" s="92">
        <v>0</v>
      </c>
      <c r="AN67" s="96"/>
      <c r="AO67" s="92">
        <v>0</v>
      </c>
      <c r="AP67" s="92"/>
    </row>
    <row r="68" spans="17:42">
      <c r="Q68" s="88"/>
      <c r="R68" s="88"/>
      <c r="Z68" s="90" t="s">
        <v>69</v>
      </c>
      <c r="AA68" s="90"/>
      <c r="AB68" s="92">
        <f>'CSG3'!Q9</f>
        <v>-4.7780226700251886E-2</v>
      </c>
      <c r="AC68" s="92"/>
      <c r="AD68" s="92">
        <f>'CSG3'!Q15</f>
        <v>-2.6730740351404114E-2</v>
      </c>
      <c r="AE68" s="96"/>
      <c r="AF68" s="185">
        <f>'CSG3'!Q21</f>
        <v>-9.0090738873685711E-2</v>
      </c>
      <c r="AG68" s="185"/>
      <c r="AI68" s="90" t="s">
        <v>69</v>
      </c>
      <c r="AJ68" s="90"/>
      <c r="AK68" s="92">
        <f>'CSG3'!Q10</f>
        <v>-4.7780226700251886E-2</v>
      </c>
      <c r="AL68" s="92"/>
      <c r="AM68" s="92">
        <f>'CSG3'!Q16</f>
        <v>-2.6730740351404114E-2</v>
      </c>
      <c r="AN68" s="96"/>
      <c r="AO68" s="92">
        <f>'CSG3'!Q22</f>
        <v>-9.0090738873685711E-2</v>
      </c>
      <c r="AP68" s="92"/>
    </row>
    <row r="69" spans="17:42">
      <c r="Z69" s="90" t="s">
        <v>34</v>
      </c>
      <c r="AA69" s="90"/>
      <c r="AB69" s="171">
        <v>0</v>
      </c>
      <c r="AC69" s="171"/>
      <c r="AD69" s="171">
        <v>0</v>
      </c>
      <c r="AE69" s="128"/>
      <c r="AF69" s="92">
        <v>0</v>
      </c>
      <c r="AG69" s="92"/>
      <c r="AI69" s="90" t="s">
        <v>34</v>
      </c>
      <c r="AJ69" s="90"/>
      <c r="AK69" s="171">
        <v>0</v>
      </c>
      <c r="AL69" s="171"/>
      <c r="AM69" s="171">
        <v>0</v>
      </c>
      <c r="AN69" s="128"/>
      <c r="AO69" s="92">
        <v>0</v>
      </c>
      <c r="AP69" s="92"/>
    </row>
    <row r="70" spans="17:42">
      <c r="Z70" s="135" t="s">
        <v>37</v>
      </c>
      <c r="AA70" s="135"/>
      <c r="AB70" s="172">
        <v>10.673999999999999</v>
      </c>
      <c r="AC70" s="173"/>
      <c r="AD70" s="172">
        <v>11.250400000000001</v>
      </c>
      <c r="AE70" s="175"/>
      <c r="AF70" s="99">
        <f>'CSG3'!S21</f>
        <v>11.499599999999999</v>
      </c>
      <c r="AG70" s="99"/>
      <c r="AI70" s="135" t="s">
        <v>37</v>
      </c>
      <c r="AJ70" s="135"/>
      <c r="AK70" s="172">
        <v>9.8560999999999996</v>
      </c>
      <c r="AL70" s="173"/>
      <c r="AM70" s="172">
        <v>10.390499999999999</v>
      </c>
      <c r="AN70" s="175"/>
      <c r="AO70" s="183">
        <f>'CSG3'!S22</f>
        <v>10.613899999999999</v>
      </c>
      <c r="AP70" s="183"/>
    </row>
  </sheetData>
  <mergeCells count="537">
    <mergeCell ref="AO67:AP67"/>
    <mergeCell ref="AO68:AP68"/>
    <mergeCell ref="AO69:AP69"/>
    <mergeCell ref="AO70:AP70"/>
    <mergeCell ref="C26:L26"/>
    <mergeCell ref="C14:N14"/>
    <mergeCell ref="AF65:AG65"/>
    <mergeCell ref="AF66:AG66"/>
    <mergeCell ref="AF67:AG67"/>
    <mergeCell ref="AF68:AG68"/>
    <mergeCell ref="AF69:AG69"/>
    <mergeCell ref="AF70:AG70"/>
    <mergeCell ref="AI46:AP46"/>
    <mergeCell ref="AO47:AP47"/>
    <mergeCell ref="AO48:AP48"/>
    <mergeCell ref="AO49:AP49"/>
    <mergeCell ref="AO50:AP50"/>
    <mergeCell ref="AO51:AP51"/>
    <mergeCell ref="AO52:AP52"/>
    <mergeCell ref="AO53:AP53"/>
    <mergeCell ref="AO54:AP54"/>
    <mergeCell ref="AO55:AP55"/>
    <mergeCell ref="AO56:AP56"/>
    <mergeCell ref="AO61:AP61"/>
    <mergeCell ref="AI60:AP60"/>
    <mergeCell ref="AO62:AP62"/>
    <mergeCell ref="AO63:AP63"/>
    <mergeCell ref="AO64:AP64"/>
    <mergeCell ref="AO65:AP65"/>
    <mergeCell ref="AO66:AP66"/>
    <mergeCell ref="AF47:AG47"/>
    <mergeCell ref="AF48:AG48"/>
    <mergeCell ref="AF49:AG49"/>
    <mergeCell ref="AF50:AG50"/>
    <mergeCell ref="AF51:AG51"/>
    <mergeCell ref="AF54:AG54"/>
    <mergeCell ref="AF53:AG53"/>
    <mergeCell ref="AF55:AG55"/>
    <mergeCell ref="AF52:AG52"/>
    <mergeCell ref="AM61:AN61"/>
    <mergeCell ref="AF56:AG56"/>
    <mergeCell ref="AI53:AJ53"/>
    <mergeCell ref="AK53:AL53"/>
    <mergeCell ref="AM53:AN53"/>
    <mergeCell ref="AI54:AJ54"/>
    <mergeCell ref="AK54:AL54"/>
    <mergeCell ref="AM54:AN54"/>
    <mergeCell ref="AI55:AJ55"/>
    <mergeCell ref="AA42:AB42"/>
    <mergeCell ref="Z46:AF46"/>
    <mergeCell ref="AI32:AR32"/>
    <mergeCell ref="AQ33:AR33"/>
    <mergeCell ref="AQ34:AR34"/>
    <mergeCell ref="AQ35:AR35"/>
    <mergeCell ref="AQ36:AR36"/>
    <mergeCell ref="AQ37:AR37"/>
    <mergeCell ref="AQ38:AR38"/>
    <mergeCell ref="AQ39:AR39"/>
    <mergeCell ref="AQ40:AR40"/>
    <mergeCell ref="AQ41:AR41"/>
    <mergeCell ref="AQ42:AR42"/>
    <mergeCell ref="AA36:AB36"/>
    <mergeCell ref="AA33:AB33"/>
    <mergeCell ref="S32:AB32"/>
    <mergeCell ref="AA34:AB34"/>
    <mergeCell ref="AA35:AB35"/>
    <mergeCell ref="AA37:AB37"/>
    <mergeCell ref="AA38:AB38"/>
    <mergeCell ref="AA39:AB39"/>
    <mergeCell ref="AA40:AB40"/>
    <mergeCell ref="AA41:AB41"/>
    <mergeCell ref="S40:T40"/>
    <mergeCell ref="W42:X42"/>
    <mergeCell ref="Y34:Z34"/>
    <mergeCell ref="Y35:Z35"/>
    <mergeCell ref="Y36:Z36"/>
    <mergeCell ref="Y37:Z37"/>
    <mergeCell ref="Y38:Z38"/>
    <mergeCell ref="Y39:Z39"/>
    <mergeCell ref="Y40:Z40"/>
    <mergeCell ref="Y41:Z41"/>
    <mergeCell ref="Y42:Z42"/>
    <mergeCell ref="W34:X34"/>
    <mergeCell ref="W35:X35"/>
    <mergeCell ref="W36:X36"/>
    <mergeCell ref="W37:X37"/>
    <mergeCell ref="W38:X38"/>
    <mergeCell ref="W39:X39"/>
    <mergeCell ref="W40:X40"/>
    <mergeCell ref="W41:X41"/>
    <mergeCell ref="U34:V34"/>
    <mergeCell ref="U35:V35"/>
    <mergeCell ref="U36:V36"/>
    <mergeCell ref="U37:V37"/>
    <mergeCell ref="U38:V38"/>
    <mergeCell ref="U39:V39"/>
    <mergeCell ref="U40:V40"/>
    <mergeCell ref="U41:V41"/>
    <mergeCell ref="U42:V42"/>
    <mergeCell ref="S34:T34"/>
    <mergeCell ref="S35:T35"/>
    <mergeCell ref="S36:T36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AI56:AJ56"/>
    <mergeCell ref="AK56:AL56"/>
    <mergeCell ref="AM56:AN56"/>
    <mergeCell ref="AI59:AN59"/>
    <mergeCell ref="AI61:AJ61"/>
    <mergeCell ref="AK61:AL61"/>
    <mergeCell ref="R46:X46"/>
    <mergeCell ref="C16:D16"/>
    <mergeCell ref="E16:F16"/>
    <mergeCell ref="G16:H16"/>
    <mergeCell ref="I16:J16"/>
    <mergeCell ref="K16:L16"/>
    <mergeCell ref="Q21:R21"/>
    <mergeCell ref="S21:T21"/>
    <mergeCell ref="U22:V22"/>
    <mergeCell ref="U21:V21"/>
    <mergeCell ref="W21:X21"/>
    <mergeCell ref="W22:X22"/>
    <mergeCell ref="Y16:Z16"/>
    <mergeCell ref="Y22:Z22"/>
    <mergeCell ref="Z45:AE45"/>
    <mergeCell ref="S23:T23"/>
    <mergeCell ref="U23:V23"/>
    <mergeCell ref="W23:X23"/>
    <mergeCell ref="AI62:AJ62"/>
    <mergeCell ref="AK62:AL62"/>
    <mergeCell ref="AM62:AN62"/>
    <mergeCell ref="AI63:AJ63"/>
    <mergeCell ref="AK63:AL63"/>
    <mergeCell ref="AM63:AN63"/>
    <mergeCell ref="AI64:AJ64"/>
    <mergeCell ref="AK64:AL64"/>
    <mergeCell ref="AM64:AN64"/>
    <mergeCell ref="AI70:AJ70"/>
    <mergeCell ref="AK70:AL70"/>
    <mergeCell ref="AM70:AN70"/>
    <mergeCell ref="AI65:AJ65"/>
    <mergeCell ref="AK65:AL65"/>
    <mergeCell ref="AM65:AN65"/>
    <mergeCell ref="AI66:AJ66"/>
    <mergeCell ref="AK66:AL66"/>
    <mergeCell ref="AM66:AN66"/>
    <mergeCell ref="AI67:AJ67"/>
    <mergeCell ref="AK67:AL67"/>
    <mergeCell ref="AM67:AN67"/>
    <mergeCell ref="AI68:AJ68"/>
    <mergeCell ref="AK68:AL68"/>
    <mergeCell ref="AM68:AN68"/>
    <mergeCell ref="AI69:AJ69"/>
    <mergeCell ref="AK69:AL69"/>
    <mergeCell ref="AM69:AN69"/>
    <mergeCell ref="Z68:AA68"/>
    <mergeCell ref="AB68:AC68"/>
    <mergeCell ref="AD68:AE68"/>
    <mergeCell ref="Z69:AA69"/>
    <mergeCell ref="AB69:AC69"/>
    <mergeCell ref="AD69:AE69"/>
    <mergeCell ref="Z70:AA70"/>
    <mergeCell ref="AB70:AC70"/>
    <mergeCell ref="AD70:AE70"/>
    <mergeCell ref="Z65:AA65"/>
    <mergeCell ref="AB65:AC65"/>
    <mergeCell ref="AD65:AE65"/>
    <mergeCell ref="Z66:AA66"/>
    <mergeCell ref="AB66:AC66"/>
    <mergeCell ref="AD66:AE66"/>
    <mergeCell ref="Z67:AA67"/>
    <mergeCell ref="AB67:AC67"/>
    <mergeCell ref="AD67:AE67"/>
    <mergeCell ref="Z56:AA56"/>
    <mergeCell ref="Z62:AA62"/>
    <mergeCell ref="AB62:AC62"/>
    <mergeCell ref="AD62:AE62"/>
    <mergeCell ref="Z63:AA63"/>
    <mergeCell ref="AB63:AC63"/>
    <mergeCell ref="AD63:AE63"/>
    <mergeCell ref="Z64:AA64"/>
    <mergeCell ref="AB64:AC64"/>
    <mergeCell ref="AD64:AE64"/>
    <mergeCell ref="Z60:AG60"/>
    <mergeCell ref="AF61:AG61"/>
    <mergeCell ref="AF62:AG62"/>
    <mergeCell ref="AF63:AG63"/>
    <mergeCell ref="AF64:AG64"/>
    <mergeCell ref="Z59:AE59"/>
    <mergeCell ref="Z61:AA61"/>
    <mergeCell ref="AB61:AC61"/>
    <mergeCell ref="AD61:AE61"/>
    <mergeCell ref="AB56:AC56"/>
    <mergeCell ref="AD56:AE56"/>
    <mergeCell ref="AM55:AN55"/>
    <mergeCell ref="AI45:AN45"/>
    <mergeCell ref="AI47:AJ47"/>
    <mergeCell ref="AK47:AL47"/>
    <mergeCell ref="AM47:AN47"/>
    <mergeCell ref="AI48:AJ48"/>
    <mergeCell ref="AK48:AL48"/>
    <mergeCell ref="AM48:AN48"/>
    <mergeCell ref="AI49:AJ49"/>
    <mergeCell ref="AK49:AL49"/>
    <mergeCell ref="AM49:AN49"/>
    <mergeCell ref="AI50:AJ50"/>
    <mergeCell ref="AK50:AL50"/>
    <mergeCell ref="AM50:AN50"/>
    <mergeCell ref="AI51:AJ51"/>
    <mergeCell ref="AK51:AL51"/>
    <mergeCell ref="AM51:AN51"/>
    <mergeCell ref="AK52:AL52"/>
    <mergeCell ref="AM52:AN52"/>
    <mergeCell ref="AI52:AJ52"/>
    <mergeCell ref="Z47:AA47"/>
    <mergeCell ref="AB47:AC47"/>
    <mergeCell ref="Z48:AA48"/>
    <mergeCell ref="Z49:AA49"/>
    <mergeCell ref="AB48:AC48"/>
    <mergeCell ref="AD48:AE48"/>
    <mergeCell ref="AB49:AC49"/>
    <mergeCell ref="AD49:AE49"/>
    <mergeCell ref="AK55:AL55"/>
    <mergeCell ref="Z55:AA55"/>
    <mergeCell ref="AB55:AC55"/>
    <mergeCell ref="AD55:AE55"/>
    <mergeCell ref="AO42:AP42"/>
    <mergeCell ref="AI38:AJ38"/>
    <mergeCell ref="AK38:AL38"/>
    <mergeCell ref="AM38:AN38"/>
    <mergeCell ref="AO38:AP38"/>
    <mergeCell ref="AI39:AJ39"/>
    <mergeCell ref="AK39:AL39"/>
    <mergeCell ref="AM39:AN39"/>
    <mergeCell ref="AO39:AP39"/>
    <mergeCell ref="AI40:AJ40"/>
    <mergeCell ref="AK40:AL40"/>
    <mergeCell ref="AM40:AN40"/>
    <mergeCell ref="AO40:AP40"/>
    <mergeCell ref="AI42:AJ42"/>
    <mergeCell ref="AK42:AL42"/>
    <mergeCell ref="AM42:AN42"/>
    <mergeCell ref="AM36:AN36"/>
    <mergeCell ref="AO36:AP36"/>
    <mergeCell ref="AI37:AJ37"/>
    <mergeCell ref="AK37:AL37"/>
    <mergeCell ref="AM37:AN37"/>
    <mergeCell ref="AO37:AP37"/>
    <mergeCell ref="AI41:AJ41"/>
    <mergeCell ref="AK41:AL41"/>
    <mergeCell ref="AM41:AN41"/>
    <mergeCell ref="AO41:AP41"/>
    <mergeCell ref="AI36:AJ36"/>
    <mergeCell ref="AK36:AL36"/>
    <mergeCell ref="AM33:AN33"/>
    <mergeCell ref="AO33:AP33"/>
    <mergeCell ref="AI34:AJ34"/>
    <mergeCell ref="AK34:AL34"/>
    <mergeCell ref="AM34:AN34"/>
    <mergeCell ref="AO34:AP34"/>
    <mergeCell ref="AI35:AJ35"/>
    <mergeCell ref="AK35:AL35"/>
    <mergeCell ref="AM35:AN35"/>
    <mergeCell ref="AO35:AP35"/>
    <mergeCell ref="AK33:AL33"/>
    <mergeCell ref="Y20:Z20"/>
    <mergeCell ref="Q19:R19"/>
    <mergeCell ref="S19:T19"/>
    <mergeCell ref="U19:V19"/>
    <mergeCell ref="W19:X19"/>
    <mergeCell ref="Y19:Z19"/>
    <mergeCell ref="AA28:AB28"/>
    <mergeCell ref="I33:J33"/>
    <mergeCell ref="M21:N21"/>
    <mergeCell ref="M22:N22"/>
    <mergeCell ref="M23:N23"/>
    <mergeCell ref="K21:L21"/>
    <mergeCell ref="K22:L22"/>
    <mergeCell ref="K23:L23"/>
    <mergeCell ref="M19:N19"/>
    <mergeCell ref="M20:N20"/>
    <mergeCell ref="K19:L19"/>
    <mergeCell ref="K20:L20"/>
    <mergeCell ref="S33:T33"/>
    <mergeCell ref="U33:V33"/>
    <mergeCell ref="W33:X33"/>
    <mergeCell ref="Y33:Z33"/>
    <mergeCell ref="AA26:AI26"/>
    <mergeCell ref="Y23:Z23"/>
    <mergeCell ref="G23:H23"/>
    <mergeCell ref="I17:J17"/>
    <mergeCell ref="K15:L15"/>
    <mergeCell ref="H7:I7"/>
    <mergeCell ref="H8:I8"/>
    <mergeCell ref="H9:I9"/>
    <mergeCell ref="G15:H15"/>
    <mergeCell ref="I18:J18"/>
    <mergeCell ref="I19:J19"/>
    <mergeCell ref="I20:J20"/>
    <mergeCell ref="K18:L18"/>
    <mergeCell ref="F11:G11"/>
    <mergeCell ref="H11:I11"/>
    <mergeCell ref="K17:L17"/>
    <mergeCell ref="L11:O11"/>
    <mergeCell ref="G20:H20"/>
    <mergeCell ref="I21:J21"/>
    <mergeCell ref="I22:J22"/>
    <mergeCell ref="E19:F19"/>
    <mergeCell ref="G17:H17"/>
    <mergeCell ref="I23:J23"/>
    <mergeCell ref="E22:F22"/>
    <mergeCell ref="E23:F23"/>
    <mergeCell ref="I15:J15"/>
    <mergeCell ref="D4:AA4"/>
    <mergeCell ref="D5:I5"/>
    <mergeCell ref="L5:AA5"/>
    <mergeCell ref="X6:Y6"/>
    <mergeCell ref="Z6:AA6"/>
    <mergeCell ref="L10:O10"/>
    <mergeCell ref="L8:O8"/>
    <mergeCell ref="L9:O9"/>
    <mergeCell ref="P6:Q6"/>
    <mergeCell ref="R6:S6"/>
    <mergeCell ref="T6:U6"/>
    <mergeCell ref="V6:W6"/>
    <mergeCell ref="H10:I10"/>
    <mergeCell ref="D7:E7"/>
    <mergeCell ref="D8:E8"/>
    <mergeCell ref="D9:E9"/>
    <mergeCell ref="D10:E10"/>
    <mergeCell ref="F9:G9"/>
    <mergeCell ref="C17:D17"/>
    <mergeCell ref="F6:G6"/>
    <mergeCell ref="F10:G10"/>
    <mergeCell ref="C18:D18"/>
    <mergeCell ref="C19:D19"/>
    <mergeCell ref="C20:D20"/>
    <mergeCell ref="C21:D21"/>
    <mergeCell ref="C22:D22"/>
    <mergeCell ref="C15:D15"/>
    <mergeCell ref="E15:F15"/>
    <mergeCell ref="G18:H18"/>
    <mergeCell ref="G19:H19"/>
    <mergeCell ref="G21:H21"/>
    <mergeCell ref="G22:H22"/>
    <mergeCell ref="D11:E11"/>
    <mergeCell ref="Q20:R20"/>
    <mergeCell ref="S20:T20"/>
    <mergeCell ref="Q17:R17"/>
    <mergeCell ref="S17:T17"/>
    <mergeCell ref="U17:V17"/>
    <mergeCell ref="W17:X17"/>
    <mergeCell ref="M16:N16"/>
    <mergeCell ref="M17:N17"/>
    <mergeCell ref="M18:N18"/>
    <mergeCell ref="U20:V20"/>
    <mergeCell ref="W20:X20"/>
    <mergeCell ref="Q14:Z14"/>
    <mergeCell ref="Q15:R15"/>
    <mergeCell ref="S15:T15"/>
    <mergeCell ref="U15:V15"/>
    <mergeCell ref="W15:X15"/>
    <mergeCell ref="Y15:Z15"/>
    <mergeCell ref="M15:N15"/>
    <mergeCell ref="Y17:Z17"/>
    <mergeCell ref="Q18:R18"/>
    <mergeCell ref="S18:T18"/>
    <mergeCell ref="U18:V18"/>
    <mergeCell ref="W18:X18"/>
    <mergeCell ref="Y18:Z18"/>
    <mergeCell ref="U16:V16"/>
    <mergeCell ref="W16:X16"/>
    <mergeCell ref="Q68:R68"/>
    <mergeCell ref="Q24:R24"/>
    <mergeCell ref="S24:T24"/>
    <mergeCell ref="U24:V24"/>
    <mergeCell ref="W24:X24"/>
    <mergeCell ref="Y24:Z24"/>
    <mergeCell ref="Q27:R27"/>
    <mergeCell ref="S27:X27"/>
    <mergeCell ref="AI33:AJ33"/>
    <mergeCell ref="U43:V43"/>
    <mergeCell ref="AB53:AC53"/>
    <mergeCell ref="AD53:AE53"/>
    <mergeCell ref="AB54:AC54"/>
    <mergeCell ref="Z50:AA50"/>
    <mergeCell ref="Z51:AA51"/>
    <mergeCell ref="Z52:AA52"/>
    <mergeCell ref="AB50:AC50"/>
    <mergeCell ref="AD50:AE50"/>
    <mergeCell ref="AB51:AC51"/>
    <mergeCell ref="AD51:AE51"/>
    <mergeCell ref="AB52:AC52"/>
    <mergeCell ref="AD52:AE52"/>
    <mergeCell ref="AD54:AE54"/>
    <mergeCell ref="AD47:AE47"/>
    <mergeCell ref="Y21:Z21"/>
    <mergeCell ref="Q23:R23"/>
    <mergeCell ref="Z53:AA53"/>
    <mergeCell ref="Z54:AA54"/>
    <mergeCell ref="C43:D43"/>
    <mergeCell ref="K27:L27"/>
    <mergeCell ref="K43:L43"/>
    <mergeCell ref="E37:F37"/>
    <mergeCell ref="G37:H37"/>
    <mergeCell ref="C28:D28"/>
    <mergeCell ref="C29:D29"/>
    <mergeCell ref="C30:D30"/>
    <mergeCell ref="C36:D36"/>
    <mergeCell ref="E28:F28"/>
    <mergeCell ref="E29:F29"/>
    <mergeCell ref="E30:F30"/>
    <mergeCell ref="E36:F36"/>
    <mergeCell ref="G28:H28"/>
    <mergeCell ref="G29:H29"/>
    <mergeCell ref="G30:H30"/>
    <mergeCell ref="I36:J36"/>
    <mergeCell ref="I31:J31"/>
    <mergeCell ref="I39:J39"/>
    <mergeCell ref="I40:J40"/>
    <mergeCell ref="I41:J41"/>
    <mergeCell ref="I42:J42"/>
    <mergeCell ref="I32:J32"/>
    <mergeCell ref="I34:J34"/>
    <mergeCell ref="C44:D44"/>
    <mergeCell ref="C45:D45"/>
    <mergeCell ref="C46:D46"/>
    <mergeCell ref="C47:D47"/>
    <mergeCell ref="C48:D48"/>
    <mergeCell ref="G40:H40"/>
    <mergeCell ref="G41:H41"/>
    <mergeCell ref="G42:H42"/>
    <mergeCell ref="I38:J38"/>
    <mergeCell ref="C35:D35"/>
    <mergeCell ref="C34:D34"/>
    <mergeCell ref="E32:F32"/>
    <mergeCell ref="G36:H36"/>
    <mergeCell ref="C49:D49"/>
    <mergeCell ref="E27:F27"/>
    <mergeCell ref="G27:H27"/>
    <mergeCell ref="I27:J27"/>
    <mergeCell ref="E43:F43"/>
    <mergeCell ref="E44:F44"/>
    <mergeCell ref="E45:F45"/>
    <mergeCell ref="E46:F46"/>
    <mergeCell ref="E47:F47"/>
    <mergeCell ref="E48:F48"/>
    <mergeCell ref="E49:F49"/>
    <mergeCell ref="G43:H43"/>
    <mergeCell ref="G44:H44"/>
    <mergeCell ref="G45:H45"/>
    <mergeCell ref="G46:H46"/>
    <mergeCell ref="G47:H47"/>
    <mergeCell ref="G48:H48"/>
    <mergeCell ref="G49:H49"/>
    <mergeCell ref="C37:D37"/>
    <mergeCell ref="I35:J35"/>
    <mergeCell ref="I37:J37"/>
    <mergeCell ref="E41:F41"/>
    <mergeCell ref="E42:F42"/>
    <mergeCell ref="G39:H39"/>
    <mergeCell ref="C31:D31"/>
    <mergeCell ref="E31:F31"/>
    <mergeCell ref="G31:H31"/>
    <mergeCell ref="E33:F33"/>
    <mergeCell ref="E34:F34"/>
    <mergeCell ref="E35:F35"/>
    <mergeCell ref="G32:H32"/>
    <mergeCell ref="G33:H33"/>
    <mergeCell ref="G34:H34"/>
    <mergeCell ref="G35:H35"/>
    <mergeCell ref="C24:F24"/>
    <mergeCell ref="L6:O7"/>
    <mergeCell ref="Q22:R22"/>
    <mergeCell ref="S22:T22"/>
    <mergeCell ref="C32:D32"/>
    <mergeCell ref="C33:D33"/>
    <mergeCell ref="I28:J28"/>
    <mergeCell ref="I29:J29"/>
    <mergeCell ref="I30:J30"/>
    <mergeCell ref="G24:H24"/>
    <mergeCell ref="I24:J24"/>
    <mergeCell ref="K24:L24"/>
    <mergeCell ref="C23:D23"/>
    <mergeCell ref="E17:F17"/>
    <mergeCell ref="E18:F18"/>
    <mergeCell ref="E20:F20"/>
    <mergeCell ref="E21:F21"/>
    <mergeCell ref="C27:D27"/>
    <mergeCell ref="Q16:R16"/>
    <mergeCell ref="S16:T16"/>
    <mergeCell ref="H6:I6"/>
    <mergeCell ref="D6:E6"/>
    <mergeCell ref="F7:G7"/>
    <mergeCell ref="F8:G8"/>
    <mergeCell ref="K37:L37"/>
    <mergeCell ref="K38:L38"/>
    <mergeCell ref="K39:L39"/>
    <mergeCell ref="K40:L40"/>
    <mergeCell ref="K41:L41"/>
    <mergeCell ref="K42:L42"/>
    <mergeCell ref="S37:T37"/>
    <mergeCell ref="S38:T38"/>
    <mergeCell ref="S39:T39"/>
    <mergeCell ref="S41:T41"/>
    <mergeCell ref="S42:T42"/>
    <mergeCell ref="C50:F50"/>
    <mergeCell ref="W43:X43"/>
    <mergeCell ref="C38:D38"/>
    <mergeCell ref="E38:F38"/>
    <mergeCell ref="G38:H38"/>
    <mergeCell ref="C39:D39"/>
    <mergeCell ref="C40:D40"/>
    <mergeCell ref="C41:D41"/>
    <mergeCell ref="C42:D42"/>
    <mergeCell ref="E39:F39"/>
    <mergeCell ref="E40:F40"/>
    <mergeCell ref="K47:L47"/>
    <mergeCell ref="K48:L48"/>
    <mergeCell ref="K49:L49"/>
    <mergeCell ref="I46:J46"/>
    <mergeCell ref="I47:J47"/>
    <mergeCell ref="I48:J48"/>
    <mergeCell ref="I49:J49"/>
    <mergeCell ref="I43:J43"/>
    <mergeCell ref="I44:J44"/>
    <mergeCell ref="K46:L46"/>
    <mergeCell ref="I45:J45"/>
    <mergeCell ref="K44:L44"/>
    <mergeCell ref="K45:L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135B-234B-4026-89B1-5E3E82A886EA}">
  <dimension ref="A2:N9"/>
  <sheetViews>
    <sheetView workbookViewId="0">
      <selection activeCell="E2" sqref="E2"/>
    </sheetView>
  </sheetViews>
  <sheetFormatPr defaultRowHeight="15"/>
  <cols>
    <col min="1" max="1" width="16.85546875" customWidth="1"/>
    <col min="2" max="2" width="17.140625" bestFit="1" customWidth="1"/>
    <col min="3" max="3" width="32" bestFit="1" customWidth="1"/>
    <col min="4" max="5" width="32" customWidth="1"/>
    <col min="6" max="8" width="23.85546875" bestFit="1" customWidth="1"/>
    <col min="9" max="9" width="21.140625" bestFit="1" customWidth="1"/>
    <col min="14" max="14" width="22.85546875" customWidth="1"/>
  </cols>
  <sheetData>
    <row r="2" spans="1:14">
      <c r="A2" s="61"/>
      <c r="B2" s="61"/>
      <c r="C2" s="61"/>
      <c r="D2" s="61" t="s">
        <v>93</v>
      </c>
      <c r="E2" s="61"/>
      <c r="F2" s="61"/>
      <c r="G2" s="61"/>
    </row>
    <row r="3" spans="1:14" ht="36.75" customHeight="1">
      <c r="A3" s="27" t="s">
        <v>94</v>
      </c>
      <c r="B3" s="27" t="s">
        <v>95</v>
      </c>
      <c r="C3" s="27" t="s">
        <v>96</v>
      </c>
      <c r="D3" s="27" t="s">
        <v>97</v>
      </c>
      <c r="E3" s="27" t="s">
        <v>98</v>
      </c>
      <c r="F3" s="28" t="s">
        <v>4</v>
      </c>
      <c r="G3" s="26" t="s">
        <v>5</v>
      </c>
      <c r="H3" s="2"/>
      <c r="I3" s="2"/>
      <c r="J3" s="2"/>
      <c r="K3" s="2"/>
      <c r="L3" s="2"/>
      <c r="M3" s="36"/>
      <c r="N3" s="24"/>
    </row>
    <row r="4" spans="1:14">
      <c r="A4" s="22" t="s">
        <v>99</v>
      </c>
      <c r="B4" s="22">
        <v>1</v>
      </c>
      <c r="C4" s="29" t="s">
        <v>100</v>
      </c>
      <c r="D4" s="29" t="s">
        <v>101</v>
      </c>
      <c r="E4" s="22">
        <v>0</v>
      </c>
      <c r="F4" s="37">
        <v>3.7</v>
      </c>
      <c r="G4" s="15" t="s">
        <v>13</v>
      </c>
    </row>
    <row r="5" spans="1:14">
      <c r="A5" s="15" t="s">
        <v>99</v>
      </c>
      <c r="B5" s="15">
        <v>2</v>
      </c>
      <c r="C5" s="21" t="s">
        <v>102</v>
      </c>
      <c r="D5" s="21" t="s">
        <v>103</v>
      </c>
      <c r="E5" s="15">
        <v>0</v>
      </c>
      <c r="F5" s="38">
        <v>4.0999999999999996</v>
      </c>
      <c r="G5" s="18">
        <v>0.1081</v>
      </c>
    </row>
    <row r="6" spans="1:14">
      <c r="A6" s="22" t="s">
        <v>99</v>
      </c>
      <c r="B6" s="22">
        <v>3</v>
      </c>
      <c r="C6" s="29" t="s">
        <v>104</v>
      </c>
      <c r="D6" s="64" t="s">
        <v>105</v>
      </c>
      <c r="E6" s="22">
        <v>0</v>
      </c>
      <c r="F6" s="39">
        <v>4.3</v>
      </c>
      <c r="G6" s="18">
        <v>4.8800000000000003E-2</v>
      </c>
    </row>
    <row r="7" spans="1:14">
      <c r="A7" s="15" t="s">
        <v>99</v>
      </c>
      <c r="B7" s="15">
        <v>4</v>
      </c>
      <c r="C7" s="21">
        <v>45575</v>
      </c>
      <c r="D7" s="21" t="s">
        <v>106</v>
      </c>
      <c r="E7" s="15">
        <v>0</v>
      </c>
      <c r="F7" s="38">
        <v>5</v>
      </c>
      <c r="G7" s="18">
        <v>0.1628</v>
      </c>
    </row>
    <row r="8" spans="1:14">
      <c r="A8" s="15" t="s">
        <v>99</v>
      </c>
      <c r="B8" s="15">
        <v>5</v>
      </c>
      <c r="C8" s="21" t="s">
        <v>107</v>
      </c>
      <c r="D8" s="21" t="s">
        <v>108</v>
      </c>
      <c r="E8" s="15">
        <v>0</v>
      </c>
      <c r="F8" s="38">
        <v>5.4</v>
      </c>
      <c r="G8" s="18">
        <v>0.08</v>
      </c>
    </row>
    <row r="9" spans="1:14">
      <c r="A9" s="2"/>
      <c r="B9" s="2"/>
      <c r="C9" s="40"/>
      <c r="D9" s="40"/>
      <c r="E9" s="2"/>
      <c r="F9" s="46"/>
      <c r="G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0"/>
  <sheetViews>
    <sheetView workbookViewId="0">
      <selection activeCell="M8" sqref="M8"/>
    </sheetView>
  </sheetViews>
  <sheetFormatPr defaultRowHeight="15"/>
  <cols>
    <col min="1" max="1" width="15.7109375" customWidth="1"/>
    <col min="2" max="2" width="17.7109375" customWidth="1"/>
    <col min="3" max="3" width="18.28515625" customWidth="1"/>
    <col min="4" max="4" width="16.85546875" customWidth="1"/>
    <col min="5" max="5" width="21.28515625" customWidth="1"/>
    <col min="6" max="6" width="21.5703125" customWidth="1"/>
    <col min="7" max="7" width="11.42578125" customWidth="1"/>
    <col min="8" max="9" width="12" customWidth="1"/>
    <col min="10" max="10" width="12.140625" customWidth="1"/>
    <col min="11" max="11" width="10.5703125" customWidth="1"/>
    <col min="12" max="12" width="10.42578125" customWidth="1"/>
    <col min="13" max="13" width="11.7109375" customWidth="1"/>
  </cols>
  <sheetData>
    <row r="2" spans="1:14">
      <c r="B2" s="186" t="s">
        <v>109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4">
      <c r="A3" s="27" t="s">
        <v>94</v>
      </c>
      <c r="B3" s="27" t="s">
        <v>95</v>
      </c>
      <c r="C3" s="27" t="s">
        <v>96</v>
      </c>
      <c r="D3" s="27" t="s">
        <v>97</v>
      </c>
      <c r="E3" s="27" t="s">
        <v>98</v>
      </c>
      <c r="F3" s="23" t="s">
        <v>27</v>
      </c>
      <c r="G3" s="20" t="s">
        <v>28</v>
      </c>
      <c r="H3" s="20" t="s">
        <v>30</v>
      </c>
      <c r="I3" s="20" t="s">
        <v>31</v>
      </c>
      <c r="J3" s="20" t="s">
        <v>32</v>
      </c>
      <c r="K3" s="19" t="s">
        <v>33</v>
      </c>
      <c r="L3" s="22" t="s">
        <v>34</v>
      </c>
      <c r="M3" s="23" t="s">
        <v>35</v>
      </c>
    </row>
    <row r="4" spans="1:14">
      <c r="A4" s="15" t="s">
        <v>99</v>
      </c>
      <c r="B4" s="22">
        <v>1</v>
      </c>
      <c r="C4" s="29" t="s">
        <v>100</v>
      </c>
      <c r="D4" s="29" t="s">
        <v>101</v>
      </c>
      <c r="E4" s="15">
        <v>0</v>
      </c>
      <c r="F4" s="30">
        <v>3.36</v>
      </c>
      <c r="G4" s="18">
        <v>0.1067</v>
      </c>
      <c r="H4" s="15">
        <v>0</v>
      </c>
      <c r="I4" s="17">
        <v>0</v>
      </c>
      <c r="J4" s="75">
        <v>0</v>
      </c>
      <c r="K4" s="17">
        <v>0</v>
      </c>
      <c r="L4" s="14">
        <v>0</v>
      </c>
      <c r="M4" s="14">
        <v>0</v>
      </c>
    </row>
    <row r="5" spans="1:14">
      <c r="A5" s="15" t="s">
        <v>99</v>
      </c>
      <c r="B5" s="15">
        <v>2</v>
      </c>
      <c r="C5" s="21" t="s">
        <v>102</v>
      </c>
      <c r="D5" s="21" t="s">
        <v>103</v>
      </c>
      <c r="E5" s="15">
        <v>0</v>
      </c>
      <c r="F5" s="30">
        <v>3.36</v>
      </c>
      <c r="G5" s="18">
        <v>0.23830000000000001</v>
      </c>
      <c r="H5" s="15">
        <v>0.86729999999999996</v>
      </c>
      <c r="I5" s="17">
        <v>0</v>
      </c>
      <c r="J5" s="75">
        <v>0</v>
      </c>
      <c r="K5" s="17">
        <v>0</v>
      </c>
      <c r="L5" s="14">
        <v>0</v>
      </c>
      <c r="M5" s="14">
        <v>1.6500000000000001E-2</v>
      </c>
    </row>
    <row r="6" spans="1:14">
      <c r="A6" s="15" t="s">
        <v>99</v>
      </c>
      <c r="B6" s="22">
        <v>3</v>
      </c>
      <c r="C6" s="29" t="s">
        <v>104</v>
      </c>
      <c r="D6" s="64" t="s">
        <v>105</v>
      </c>
      <c r="E6" s="15">
        <v>0</v>
      </c>
      <c r="F6" s="30">
        <v>3.36</v>
      </c>
      <c r="G6" s="18">
        <v>0.27739999999999998</v>
      </c>
      <c r="H6" s="15">
        <v>0.93359999999999999</v>
      </c>
      <c r="I6" s="17">
        <v>0</v>
      </c>
      <c r="J6" s="75">
        <v>0</v>
      </c>
      <c r="K6" s="17">
        <v>0</v>
      </c>
      <c r="L6" s="14">
        <v>0</v>
      </c>
      <c r="M6" s="14">
        <v>1.8700000000000001E-2</v>
      </c>
    </row>
    <row r="7" spans="1:14">
      <c r="A7" s="22" t="s">
        <v>99</v>
      </c>
      <c r="B7" s="22">
        <v>4</v>
      </c>
      <c r="C7" s="21">
        <v>45575</v>
      </c>
      <c r="D7" s="21" t="s">
        <v>106</v>
      </c>
      <c r="E7" s="22">
        <v>0</v>
      </c>
      <c r="F7" s="31">
        <v>3.36</v>
      </c>
      <c r="G7" s="32">
        <v>0.33139999999999997</v>
      </c>
      <c r="H7" s="62">
        <v>0.91200000000000003</v>
      </c>
      <c r="I7" s="62">
        <v>0</v>
      </c>
      <c r="J7" s="76">
        <v>-8.5999999999999998E-4</v>
      </c>
      <c r="K7" s="62">
        <v>0</v>
      </c>
      <c r="L7" s="34">
        <v>0.61899999999999999</v>
      </c>
      <c r="M7" s="34">
        <v>-3.9899999999999998E-2</v>
      </c>
    </row>
    <row r="8" spans="1:14">
      <c r="A8" s="15" t="s">
        <v>99</v>
      </c>
      <c r="B8" s="15">
        <v>5</v>
      </c>
      <c r="C8" s="21" t="s">
        <v>107</v>
      </c>
      <c r="D8" s="21" t="s">
        <v>108</v>
      </c>
      <c r="E8" s="35">
        <v>0</v>
      </c>
      <c r="F8" s="30">
        <v>3.36</v>
      </c>
      <c r="G8" s="54">
        <f>Plan1!M17</f>
        <v>0.40260000000000001</v>
      </c>
      <c r="H8" s="17">
        <f>Plan1!M18</f>
        <v>0.91849999999999998</v>
      </c>
      <c r="I8" s="17">
        <f>Plan1!M19</f>
        <v>0</v>
      </c>
      <c r="J8" s="75">
        <f>Plan1!M20</f>
        <v>0</v>
      </c>
      <c r="K8" s="17">
        <f>Plan1!M21</f>
        <v>0</v>
      </c>
      <c r="L8" s="14">
        <f>Plan1!M22</f>
        <v>0.64583699999999999</v>
      </c>
      <c r="M8" s="14">
        <f>0.0493</f>
        <v>4.9299999999999997E-2</v>
      </c>
    </row>
    <row r="10" spans="1:14">
      <c r="A10" t="s">
        <v>110</v>
      </c>
    </row>
    <row r="12" spans="1:14">
      <c r="E12" s="88" t="s">
        <v>39</v>
      </c>
      <c r="F12" s="88"/>
    </row>
    <row r="13" spans="1:14">
      <c r="E13" s="56" t="s">
        <v>40</v>
      </c>
      <c r="F13" s="56"/>
      <c r="G13" s="56"/>
      <c r="H13" s="56"/>
      <c r="I13" s="56"/>
      <c r="J13" s="56"/>
      <c r="K13" s="43"/>
      <c r="L13" s="43"/>
      <c r="M13" s="187"/>
      <c r="N13" s="187"/>
    </row>
    <row r="14" spans="1:14">
      <c r="E14" s="2"/>
      <c r="F14" s="2"/>
      <c r="G14" s="43"/>
      <c r="H14" s="43"/>
      <c r="I14" s="43"/>
      <c r="J14" s="43"/>
      <c r="K14" s="43"/>
      <c r="L14" s="43"/>
      <c r="M14" s="188"/>
      <c r="N14" s="88"/>
    </row>
    <row r="15" spans="1:14">
      <c r="E15" s="193" t="s">
        <v>42</v>
      </c>
      <c r="F15" s="8"/>
      <c r="G15" s="8"/>
      <c r="J15" s="8"/>
      <c r="K15" s="8"/>
      <c r="L15" s="8"/>
      <c r="M15" s="188"/>
      <c r="N15" s="88"/>
    </row>
    <row r="16" spans="1:14">
      <c r="E16" s="193" t="s">
        <v>46</v>
      </c>
      <c r="M16" s="189"/>
      <c r="N16" s="189"/>
    </row>
    <row r="17" spans="5:14">
      <c r="E17" s="193" t="s">
        <v>47</v>
      </c>
      <c r="M17" s="187"/>
      <c r="N17" s="187"/>
    </row>
    <row r="18" spans="5:14">
      <c r="E18" s="193" t="s">
        <v>43</v>
      </c>
      <c r="M18" s="187"/>
      <c r="N18" s="187"/>
    </row>
    <row r="19" spans="5:14">
      <c r="E19" s="193" t="s">
        <v>44</v>
      </c>
      <c r="M19" s="187"/>
      <c r="N19" s="187"/>
    </row>
    <row r="20" spans="5:14">
      <c r="M20" s="187"/>
      <c r="N20" s="187"/>
    </row>
  </sheetData>
  <mergeCells count="10">
    <mergeCell ref="M16:N16"/>
    <mergeCell ref="M17:N17"/>
    <mergeCell ref="M18:N18"/>
    <mergeCell ref="M19:N19"/>
    <mergeCell ref="M20:N20"/>
    <mergeCell ref="E12:F12"/>
    <mergeCell ref="B2:M2"/>
    <mergeCell ref="M13:N13"/>
    <mergeCell ref="M14:N14"/>
    <mergeCell ref="M15:N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8"/>
  <sheetViews>
    <sheetView tabSelected="1" topLeftCell="E1" workbookViewId="0">
      <selection activeCell="H5" sqref="H5"/>
    </sheetView>
  </sheetViews>
  <sheetFormatPr defaultColWidth="24.140625" defaultRowHeight="15"/>
  <cols>
    <col min="14" max="14" width="37.42578125" customWidth="1"/>
  </cols>
  <sheetData>
    <row r="2" spans="1:14">
      <c r="A2" s="191" t="s">
        <v>111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4">
      <c r="A3" s="26" t="s">
        <v>94</v>
      </c>
      <c r="B3" s="26" t="s">
        <v>95</v>
      </c>
      <c r="C3" s="26" t="s">
        <v>96</v>
      </c>
      <c r="D3" s="26" t="s">
        <v>97</v>
      </c>
      <c r="E3" s="26" t="s">
        <v>98</v>
      </c>
      <c r="F3" s="15" t="s">
        <v>27</v>
      </c>
      <c r="G3" s="15" t="s">
        <v>28</v>
      </c>
      <c r="H3" s="22" t="s">
        <v>30</v>
      </c>
      <c r="I3" s="22" t="s">
        <v>31</v>
      </c>
      <c r="J3" s="22" t="s">
        <v>32</v>
      </c>
      <c r="K3" s="22" t="s">
        <v>33</v>
      </c>
      <c r="L3" s="22" t="s">
        <v>34</v>
      </c>
      <c r="M3" s="22" t="s">
        <v>35</v>
      </c>
      <c r="N3" s="22" t="s">
        <v>37</v>
      </c>
    </row>
    <row r="4" spans="1:14">
      <c r="A4" s="15" t="s">
        <v>99</v>
      </c>
      <c r="B4" s="22">
        <v>1</v>
      </c>
      <c r="C4" s="29" t="s">
        <v>100</v>
      </c>
      <c r="D4" s="29" t="s">
        <v>101</v>
      </c>
      <c r="E4" s="15">
        <v>0</v>
      </c>
      <c r="F4" s="30">
        <v>3.36</v>
      </c>
      <c r="G4" s="83">
        <f>F4*0.1067</f>
        <v>0.358512</v>
      </c>
      <c r="H4" s="14">
        <v>0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3.7185000000000001</v>
      </c>
    </row>
    <row r="5" spans="1:14">
      <c r="A5" s="15" t="s">
        <v>99</v>
      </c>
      <c r="B5" s="15">
        <v>2</v>
      </c>
      <c r="C5" s="21" t="s">
        <v>102</v>
      </c>
      <c r="D5" s="21" t="s">
        <v>103</v>
      </c>
      <c r="E5" s="15">
        <v>0</v>
      </c>
      <c r="F5" s="30">
        <v>3.36</v>
      </c>
      <c r="G5" s="83">
        <f>N5-F5-H5-M5</f>
        <v>0.45716248062666581</v>
      </c>
      <c r="H5" s="14">
        <f>F5*0.1*'RSM2'!H5</f>
        <v>0.29141280000000003</v>
      </c>
      <c r="I5" s="14">
        <v>0</v>
      </c>
      <c r="J5" s="14">
        <v>0</v>
      </c>
      <c r="K5" s="14">
        <v>0</v>
      </c>
      <c r="L5" s="14">
        <v>0</v>
      </c>
      <c r="M5" s="14">
        <f>'RSM2'!M5/1.2383</f>
        <v>1.3324719373334411E-2</v>
      </c>
      <c r="N5" s="14">
        <v>4.1219000000000001</v>
      </c>
    </row>
    <row r="6" spans="1:14">
      <c r="A6" s="15" t="s">
        <v>99</v>
      </c>
      <c r="B6" s="22">
        <v>3</v>
      </c>
      <c r="C6" s="29" t="s">
        <v>104</v>
      </c>
      <c r="D6" s="64" t="s">
        <v>105</v>
      </c>
      <c r="E6" s="15">
        <v>0</v>
      </c>
      <c r="F6" s="30">
        <v>3.36</v>
      </c>
      <c r="G6" s="83">
        <f>N6-F6-H6-M6</f>
        <v>0.59397128930640397</v>
      </c>
      <c r="H6" s="14">
        <f>F6*0.1*'RSM2'!H6</f>
        <v>0.31368960000000001</v>
      </c>
      <c r="I6" s="14">
        <v>0</v>
      </c>
      <c r="J6" s="14">
        <v>0</v>
      </c>
      <c r="K6" s="14">
        <v>0</v>
      </c>
      <c r="L6" s="14">
        <v>0</v>
      </c>
      <c r="M6" s="14">
        <f>'RSM2'!M6/1.2774</f>
        <v>1.4639110693596368E-2</v>
      </c>
      <c r="N6" s="14">
        <v>4.2823000000000002</v>
      </c>
    </row>
    <row r="7" spans="1:14">
      <c r="A7" s="22" t="s">
        <v>99</v>
      </c>
      <c r="B7" s="22">
        <v>4</v>
      </c>
      <c r="C7" s="21">
        <v>45575</v>
      </c>
      <c r="D7" s="21" t="s">
        <v>106</v>
      </c>
      <c r="E7" s="22">
        <v>0</v>
      </c>
      <c r="F7" s="31">
        <v>3.36</v>
      </c>
      <c r="G7" s="83">
        <f>N7-F7-H7-J7-L7-M7</f>
        <v>0.87365825086375271</v>
      </c>
      <c r="H7" s="14">
        <f>F7*0.1*'RSM2'!H7</f>
        <v>0.30643200000000004</v>
      </c>
      <c r="I7" s="34">
        <v>0</v>
      </c>
      <c r="J7" s="34">
        <f>'RSM2'!J7/1.3314</f>
        <v>-6.459366080817185E-4</v>
      </c>
      <c r="K7" s="34">
        <v>0</v>
      </c>
      <c r="L7" s="34">
        <f>'RSM2'!L7/1.3314</f>
        <v>0.46492414000300436</v>
      </c>
      <c r="M7" s="14">
        <f>'RSM2'!M7/1.3314</f>
        <v>-2.996845425867508E-2</v>
      </c>
      <c r="N7" s="34">
        <v>4.9744000000000002</v>
      </c>
    </row>
    <row r="8" spans="1:14">
      <c r="A8" s="15" t="s">
        <v>99</v>
      </c>
      <c r="B8" s="15">
        <v>5</v>
      </c>
      <c r="C8" s="21" t="s">
        <v>107</v>
      </c>
      <c r="D8" s="21" t="s">
        <v>108</v>
      </c>
      <c r="E8" s="15">
        <v>0</v>
      </c>
      <c r="F8" s="30">
        <f>Plan1!AA16</f>
        <v>3.36</v>
      </c>
      <c r="G8" s="83">
        <f>N8-F8-H8-J8-L8-M8</f>
        <v>1.204668088284121</v>
      </c>
      <c r="H8" s="14">
        <f>F8*0.1*'RSM2'!H8</f>
        <v>0.308616</v>
      </c>
      <c r="I8" s="16">
        <f>Plan1!AA19</f>
        <v>0</v>
      </c>
      <c r="J8" s="14">
        <f>'RSM2'!J8/'RSM2'!G8</f>
        <v>0</v>
      </c>
      <c r="K8" s="67">
        <f>Plan1!AA21</f>
        <v>0</v>
      </c>
      <c r="L8" s="14">
        <f>'RSM2'!L8/1.4026</f>
        <v>0.46045700841294734</v>
      </c>
      <c r="M8" s="50">
        <f>'RSM2'!M8/1.4026</f>
        <v>3.5149008983316694E-2</v>
      </c>
      <c r="N8" s="14">
        <f>Plan1!AA24</f>
        <v>5.3688901056803848</v>
      </c>
    </row>
    <row r="10" spans="1:14">
      <c r="A10" t="s">
        <v>110</v>
      </c>
    </row>
    <row r="11" spans="1:14">
      <c r="F11" s="57"/>
    </row>
    <row r="12" spans="1:14">
      <c r="F12" s="187"/>
      <c r="G12" s="187"/>
      <c r="H12" s="187"/>
      <c r="I12" s="187"/>
      <c r="J12" s="187"/>
      <c r="K12" s="187"/>
      <c r="L12" s="187"/>
      <c r="M12" s="187"/>
    </row>
    <row r="13" spans="1:14">
      <c r="F13" s="187"/>
      <c r="G13" s="187"/>
      <c r="H13" s="187"/>
      <c r="I13" s="187"/>
      <c r="J13" s="187"/>
      <c r="K13" s="187"/>
      <c r="L13" s="187"/>
      <c r="M13" s="187"/>
    </row>
    <row r="14" spans="1:14">
      <c r="F14" s="187"/>
      <c r="G14" s="187"/>
      <c r="H14" s="187"/>
      <c r="I14" s="187"/>
      <c r="J14" s="187"/>
      <c r="K14" s="187"/>
      <c r="L14" s="187"/>
      <c r="M14" s="187"/>
    </row>
    <row r="15" spans="1:14">
      <c r="F15" s="187"/>
      <c r="G15" s="187"/>
      <c r="H15" s="187"/>
      <c r="I15" s="187"/>
      <c r="J15" s="187"/>
      <c r="K15" s="187"/>
      <c r="L15" s="187"/>
      <c r="M15" s="187"/>
    </row>
    <row r="16" spans="1:14">
      <c r="F16" s="187"/>
      <c r="G16" s="187"/>
      <c r="H16" s="187"/>
      <c r="I16" s="187"/>
      <c r="J16" s="187"/>
      <c r="K16" s="187"/>
      <c r="L16" s="187"/>
      <c r="M16" s="187"/>
    </row>
    <row r="17" spans="6:13">
      <c r="F17" s="187"/>
      <c r="G17" s="187"/>
      <c r="H17" s="187"/>
      <c r="I17" s="187"/>
      <c r="J17" s="187"/>
      <c r="K17" s="187"/>
      <c r="L17" s="187"/>
      <c r="M17" s="187"/>
    </row>
    <row r="18" spans="6:13">
      <c r="F18" s="190"/>
      <c r="G18" s="190"/>
      <c r="H18" s="190"/>
      <c r="I18" s="190"/>
      <c r="J18" s="190"/>
      <c r="K18" s="190"/>
      <c r="L18" s="190"/>
      <c r="M18" s="190"/>
    </row>
  </sheetData>
  <mergeCells count="29">
    <mergeCell ref="A2:N2"/>
    <mergeCell ref="F12:G12"/>
    <mergeCell ref="H12:I12"/>
    <mergeCell ref="J12:K12"/>
    <mergeCell ref="L12:M12"/>
    <mergeCell ref="F13:G13"/>
    <mergeCell ref="H13:I13"/>
    <mergeCell ref="J13:K13"/>
    <mergeCell ref="L13:M13"/>
    <mergeCell ref="F14:G14"/>
    <mergeCell ref="H14:I14"/>
    <mergeCell ref="J14:K14"/>
    <mergeCell ref="L14:M14"/>
    <mergeCell ref="F15:G15"/>
    <mergeCell ref="H15:I15"/>
    <mergeCell ref="J15:K15"/>
    <mergeCell ref="L15:M15"/>
    <mergeCell ref="F18:G18"/>
    <mergeCell ref="H18:I18"/>
    <mergeCell ref="J18:K18"/>
    <mergeCell ref="L18:M18"/>
    <mergeCell ref="F16:G16"/>
    <mergeCell ref="H16:I16"/>
    <mergeCell ref="J16:K16"/>
    <mergeCell ref="L16:M16"/>
    <mergeCell ref="F17:G17"/>
    <mergeCell ref="H17:I17"/>
    <mergeCell ref="J17:K17"/>
    <mergeCell ref="L17:M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139A-273B-4465-ADE1-459191D7DC55}">
  <dimension ref="A1:G26"/>
  <sheetViews>
    <sheetView workbookViewId="0">
      <selection activeCell="A17" sqref="A17"/>
    </sheetView>
  </sheetViews>
  <sheetFormatPr defaultRowHeight="15"/>
  <cols>
    <col min="1" max="1" width="16.5703125" customWidth="1"/>
    <col min="2" max="2" width="18" customWidth="1"/>
    <col min="3" max="3" width="16.5703125" customWidth="1"/>
    <col min="4" max="4" width="18.28515625" customWidth="1"/>
    <col min="5" max="5" width="31.85546875" customWidth="1"/>
    <col min="6" max="6" width="17" customWidth="1"/>
    <col min="7" max="7" width="22.140625" customWidth="1"/>
  </cols>
  <sheetData>
    <row r="1" spans="1:7">
      <c r="D1" t="s">
        <v>93</v>
      </c>
    </row>
    <row r="2" spans="1:7">
      <c r="A2" s="27" t="s">
        <v>94</v>
      </c>
      <c r="B2" s="27" t="s">
        <v>95</v>
      </c>
      <c r="C2" s="27" t="s">
        <v>96</v>
      </c>
      <c r="D2" s="27" t="s">
        <v>97</v>
      </c>
      <c r="E2" s="27" t="s">
        <v>112</v>
      </c>
      <c r="F2" s="28" t="s">
        <v>4</v>
      </c>
      <c r="G2" s="26" t="s">
        <v>5</v>
      </c>
    </row>
    <row r="3" spans="1:7">
      <c r="A3" s="22" t="s">
        <v>113</v>
      </c>
      <c r="B3" s="22">
        <v>1</v>
      </c>
      <c r="C3" s="64" t="s">
        <v>114</v>
      </c>
      <c r="D3" s="29" t="s">
        <v>115</v>
      </c>
      <c r="E3" s="22" t="s">
        <v>116</v>
      </c>
      <c r="F3" s="39">
        <v>11.9</v>
      </c>
      <c r="G3" s="15" t="s">
        <v>13</v>
      </c>
    </row>
    <row r="4" spans="1:7">
      <c r="A4" s="22" t="s">
        <v>113</v>
      </c>
      <c r="B4" s="15">
        <v>1</v>
      </c>
      <c r="C4" s="64" t="s">
        <v>114</v>
      </c>
      <c r="D4" s="29" t="s">
        <v>115</v>
      </c>
      <c r="E4" s="15" t="s">
        <v>117</v>
      </c>
      <c r="F4" s="38">
        <v>8.3000000000000007</v>
      </c>
      <c r="G4" s="18" t="s">
        <v>13</v>
      </c>
    </row>
    <row r="5" spans="1:7">
      <c r="A5" s="22" t="s">
        <v>113</v>
      </c>
      <c r="B5" s="22">
        <v>2</v>
      </c>
      <c r="C5" s="65" t="s">
        <v>118</v>
      </c>
      <c r="D5" s="21" t="s">
        <v>119</v>
      </c>
      <c r="E5" s="22" t="s">
        <v>120</v>
      </c>
      <c r="F5" s="39">
        <v>12.3</v>
      </c>
      <c r="G5" s="18">
        <v>3.3599999999999998E-2</v>
      </c>
    </row>
    <row r="6" spans="1:7">
      <c r="A6" s="22" t="s">
        <v>113</v>
      </c>
      <c r="B6" s="22">
        <v>2</v>
      </c>
      <c r="C6" s="65" t="s">
        <v>118</v>
      </c>
      <c r="D6" s="21" t="s">
        <v>119</v>
      </c>
      <c r="E6" s="22" t="s">
        <v>121</v>
      </c>
      <c r="F6" s="39">
        <v>8.6</v>
      </c>
      <c r="G6" s="32">
        <v>3.61E-2</v>
      </c>
    </row>
    <row r="7" spans="1:7">
      <c r="A7" s="25" t="s">
        <v>113</v>
      </c>
      <c r="B7" s="15">
        <v>2</v>
      </c>
      <c r="C7" s="65" t="s">
        <v>118</v>
      </c>
      <c r="D7" s="21" t="s">
        <v>119</v>
      </c>
      <c r="E7" s="15" t="s">
        <v>122</v>
      </c>
      <c r="F7" s="30">
        <v>8.6</v>
      </c>
      <c r="G7" s="18" t="s">
        <v>13</v>
      </c>
    </row>
    <row r="8" spans="1:7">
      <c r="A8" s="25" t="s">
        <v>113</v>
      </c>
      <c r="B8" s="15">
        <v>2</v>
      </c>
      <c r="C8" s="65" t="s">
        <v>118</v>
      </c>
      <c r="D8" s="21" t="s">
        <v>119</v>
      </c>
      <c r="E8" s="15" t="s">
        <v>123</v>
      </c>
      <c r="F8" s="30">
        <v>9</v>
      </c>
      <c r="G8" s="15" t="s">
        <v>13</v>
      </c>
    </row>
    <row r="9" spans="1:7">
      <c r="A9" s="25" t="s">
        <v>113</v>
      </c>
      <c r="B9" s="15">
        <v>2</v>
      </c>
      <c r="C9" s="65" t="s">
        <v>118</v>
      </c>
      <c r="D9" s="21" t="s">
        <v>119</v>
      </c>
      <c r="E9" s="15" t="s">
        <v>124</v>
      </c>
      <c r="F9" s="30">
        <v>10.7</v>
      </c>
      <c r="G9" s="15" t="s">
        <v>13</v>
      </c>
    </row>
    <row r="10" spans="1:7">
      <c r="A10" s="25" t="s">
        <v>113</v>
      </c>
      <c r="B10" s="15">
        <v>2</v>
      </c>
      <c r="C10" s="65" t="s">
        <v>118</v>
      </c>
      <c r="D10" s="21" t="s">
        <v>119</v>
      </c>
      <c r="E10" s="15" t="s">
        <v>125</v>
      </c>
      <c r="F10" s="30">
        <v>9.9</v>
      </c>
      <c r="G10" s="15" t="s">
        <v>13</v>
      </c>
    </row>
    <row r="11" spans="1:7">
      <c r="A11" s="25" t="s">
        <v>113</v>
      </c>
      <c r="B11" s="15">
        <v>3</v>
      </c>
      <c r="C11" s="64" t="s">
        <v>126</v>
      </c>
      <c r="D11" s="29" t="s">
        <v>127</v>
      </c>
      <c r="E11" s="22" t="s">
        <v>128</v>
      </c>
      <c r="F11" s="30">
        <v>13</v>
      </c>
      <c r="G11" s="18">
        <v>5.6899999999999999E-2</v>
      </c>
    </row>
    <row r="12" spans="1:7">
      <c r="A12" s="25" t="s">
        <v>113</v>
      </c>
      <c r="B12" s="15">
        <v>3</v>
      </c>
      <c r="C12" s="64" t="s">
        <v>126</v>
      </c>
      <c r="D12" s="29" t="s">
        <v>127</v>
      </c>
      <c r="E12" s="22" t="s">
        <v>129</v>
      </c>
      <c r="F12" s="30">
        <v>9.1</v>
      </c>
      <c r="G12" s="18">
        <v>5.8099999999999999E-2</v>
      </c>
    </row>
    <row r="13" spans="1:7">
      <c r="A13" s="25" t="s">
        <v>113</v>
      </c>
      <c r="B13" s="15">
        <v>3</v>
      </c>
      <c r="C13" s="64" t="s">
        <v>126</v>
      </c>
      <c r="D13" s="29" t="s">
        <v>127</v>
      </c>
      <c r="E13" s="15" t="s">
        <v>122</v>
      </c>
      <c r="F13" s="30">
        <v>9.1</v>
      </c>
      <c r="G13" s="18">
        <v>5.8099999999999999E-2</v>
      </c>
    </row>
    <row r="14" spans="1:7">
      <c r="A14" s="25" t="s">
        <v>113</v>
      </c>
      <c r="B14" s="15">
        <v>3</v>
      </c>
      <c r="C14" s="64" t="s">
        <v>126</v>
      </c>
      <c r="D14" s="29" t="s">
        <v>127</v>
      </c>
      <c r="E14" s="15" t="s">
        <v>123</v>
      </c>
      <c r="F14" s="30">
        <v>9.5</v>
      </c>
      <c r="G14" s="18">
        <v>5.5599999999999997E-2</v>
      </c>
    </row>
    <row r="15" spans="1:7">
      <c r="A15" s="25" t="s">
        <v>113</v>
      </c>
      <c r="B15" s="22">
        <v>3</v>
      </c>
      <c r="C15" s="64" t="s">
        <v>126</v>
      </c>
      <c r="D15" s="29" t="s">
        <v>127</v>
      </c>
      <c r="E15" s="22" t="s">
        <v>124</v>
      </c>
      <c r="F15" s="31">
        <v>11.3</v>
      </c>
      <c r="G15" s="32">
        <v>5.6099999999999997E-2</v>
      </c>
    </row>
    <row r="16" spans="1:7">
      <c r="A16" s="15" t="s">
        <v>113</v>
      </c>
      <c r="B16" s="35">
        <v>3</v>
      </c>
      <c r="C16" s="68" t="s">
        <v>126</v>
      </c>
      <c r="D16" s="21" t="s">
        <v>127</v>
      </c>
      <c r="E16" s="63" t="s">
        <v>125</v>
      </c>
      <c r="F16" s="30">
        <v>10.4</v>
      </c>
      <c r="G16" s="18">
        <v>5.0500000000000003E-2</v>
      </c>
    </row>
    <row r="17" spans="1:7">
      <c r="A17" s="25" t="s">
        <v>113</v>
      </c>
      <c r="B17" s="15">
        <v>4</v>
      </c>
      <c r="C17" s="64" t="s">
        <v>130</v>
      </c>
      <c r="D17" s="29" t="s">
        <v>108</v>
      </c>
      <c r="E17" s="22" t="s">
        <v>128</v>
      </c>
      <c r="F17" s="30">
        <v>13.3</v>
      </c>
      <c r="G17" s="18">
        <f>(F17/F11)-1</f>
        <v>2.3076923076923217E-2</v>
      </c>
    </row>
    <row r="18" spans="1:7">
      <c r="A18" s="25" t="s">
        <v>113</v>
      </c>
      <c r="B18" s="15">
        <v>4</v>
      </c>
      <c r="C18" s="64" t="s">
        <v>130</v>
      </c>
      <c r="D18" s="29" t="s">
        <v>108</v>
      </c>
      <c r="E18" s="22" t="s">
        <v>129</v>
      </c>
      <c r="F18" s="30">
        <v>9.1999999999999993</v>
      </c>
      <c r="G18" s="18">
        <f t="shared" ref="G18:G22" si="0">(F18/F12)-1</f>
        <v>1.098901098901095E-2</v>
      </c>
    </row>
    <row r="19" spans="1:7">
      <c r="A19" s="25" t="s">
        <v>113</v>
      </c>
      <c r="B19" s="15">
        <v>4</v>
      </c>
      <c r="C19" s="64" t="s">
        <v>130</v>
      </c>
      <c r="D19" s="29" t="s">
        <v>108</v>
      </c>
      <c r="E19" s="15" t="s">
        <v>122</v>
      </c>
      <c r="F19" s="30">
        <v>9.3000000000000007</v>
      </c>
      <c r="G19" s="18">
        <f t="shared" si="0"/>
        <v>2.1978021978022122E-2</v>
      </c>
    </row>
    <row r="20" spans="1:7">
      <c r="A20" s="25" t="s">
        <v>113</v>
      </c>
      <c r="B20" s="15">
        <v>4</v>
      </c>
      <c r="C20" s="64" t="s">
        <v>130</v>
      </c>
      <c r="D20" s="29" t="s">
        <v>108</v>
      </c>
      <c r="E20" s="15" t="s">
        <v>123</v>
      </c>
      <c r="F20" s="30">
        <v>9.6999999999999993</v>
      </c>
      <c r="G20" s="18">
        <f t="shared" si="0"/>
        <v>2.1052631578947212E-2</v>
      </c>
    </row>
    <row r="21" spans="1:7">
      <c r="A21" s="25" t="s">
        <v>113</v>
      </c>
      <c r="B21" s="22">
        <v>4</v>
      </c>
      <c r="C21" s="64" t="s">
        <v>130</v>
      </c>
      <c r="D21" s="29" t="s">
        <v>108</v>
      </c>
      <c r="E21" s="22" t="s">
        <v>124</v>
      </c>
      <c r="F21" s="31">
        <v>11.5</v>
      </c>
      <c r="G21" s="18">
        <f t="shared" si="0"/>
        <v>1.7699115044247815E-2</v>
      </c>
    </row>
    <row r="22" spans="1:7">
      <c r="A22" s="15" t="s">
        <v>113</v>
      </c>
      <c r="B22" s="35">
        <v>4</v>
      </c>
      <c r="C22" s="65" t="s">
        <v>130</v>
      </c>
      <c r="D22" s="60" t="s">
        <v>108</v>
      </c>
      <c r="E22" s="63" t="s">
        <v>125</v>
      </c>
      <c r="F22" s="30">
        <v>10.6</v>
      </c>
      <c r="G22" s="18">
        <f t="shared" si="0"/>
        <v>1.9230769230769162E-2</v>
      </c>
    </row>
    <row r="23" spans="1:7">
      <c r="A23" s="2"/>
      <c r="B23" s="2"/>
      <c r="C23" s="40"/>
      <c r="D23" s="2"/>
      <c r="E23" s="2"/>
      <c r="F23" s="2"/>
      <c r="G23" s="2"/>
    </row>
    <row r="24" spans="1:7">
      <c r="A24" s="2"/>
      <c r="B24" s="2"/>
      <c r="C24" s="40"/>
      <c r="D24" s="2"/>
      <c r="E24" s="2"/>
      <c r="F24" s="2"/>
      <c r="G24" s="2"/>
    </row>
    <row r="25" spans="1:7">
      <c r="A25" s="2"/>
      <c r="B25" s="2"/>
      <c r="C25" s="40"/>
      <c r="D25" s="2"/>
      <c r="E25" s="2"/>
      <c r="F25" s="2"/>
      <c r="G25" s="2"/>
    </row>
    <row r="26" spans="1:7">
      <c r="A26" s="2"/>
      <c r="B26" s="2"/>
      <c r="C26" s="40"/>
      <c r="D26" s="2"/>
      <c r="E26" s="2"/>
      <c r="F26" s="2"/>
      <c r="G2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9F578-5BDD-4F26-A063-D4EC0ABA45AF}">
  <sheetPr filterMode="1"/>
  <dimension ref="A1:Q40"/>
  <sheetViews>
    <sheetView topLeftCell="E1" workbookViewId="0">
      <selection activeCell="N17" sqref="N17"/>
    </sheetView>
  </sheetViews>
  <sheetFormatPr defaultRowHeight="15"/>
  <cols>
    <col min="1" max="1" width="16.28515625" customWidth="1"/>
    <col min="2" max="2" width="17.42578125" customWidth="1"/>
    <col min="3" max="3" width="18.5703125" customWidth="1"/>
    <col min="4" max="4" width="19.140625" customWidth="1"/>
    <col min="5" max="5" width="28.42578125" customWidth="1"/>
    <col min="6" max="10" width="22.28515625" customWidth="1"/>
    <col min="11" max="11" width="14.5703125" customWidth="1"/>
    <col min="12" max="12" width="15.5703125" customWidth="1"/>
    <col min="13" max="13" width="16.7109375" customWidth="1"/>
    <col min="14" max="14" width="18.42578125" customWidth="1"/>
    <col min="15" max="15" width="14.42578125" customWidth="1"/>
    <col min="16" max="16" width="15.85546875" customWidth="1"/>
    <col min="17" max="17" width="17.28515625" customWidth="1"/>
  </cols>
  <sheetData>
    <row r="1" spans="1:17">
      <c r="D1" t="s">
        <v>109</v>
      </c>
    </row>
    <row r="2" spans="1:17">
      <c r="A2" s="27" t="s">
        <v>94</v>
      </c>
      <c r="B2" s="27" t="s">
        <v>95</v>
      </c>
      <c r="C2" s="27" t="s">
        <v>96</v>
      </c>
      <c r="D2" s="27" t="s">
        <v>97</v>
      </c>
      <c r="E2" s="27" t="s">
        <v>112</v>
      </c>
      <c r="F2" s="42" t="s">
        <v>41</v>
      </c>
      <c r="G2" s="15" t="s">
        <v>45</v>
      </c>
      <c r="H2" s="15" t="s">
        <v>131</v>
      </c>
      <c r="I2" s="15" t="s">
        <v>132</v>
      </c>
      <c r="J2" s="15" t="s">
        <v>133</v>
      </c>
      <c r="K2" s="51" t="s">
        <v>28</v>
      </c>
      <c r="L2" s="20" t="s">
        <v>30</v>
      </c>
      <c r="M2" s="20" t="s">
        <v>31</v>
      </c>
      <c r="N2" s="20" t="s">
        <v>32</v>
      </c>
      <c r="O2" s="19" t="s">
        <v>33</v>
      </c>
      <c r="P2" s="22" t="s">
        <v>69</v>
      </c>
      <c r="Q2" s="23" t="s">
        <v>34</v>
      </c>
    </row>
    <row r="3" spans="1:17">
      <c r="A3" s="15" t="s">
        <v>113</v>
      </c>
      <c r="B3" s="22">
        <v>1</v>
      </c>
      <c r="C3" s="64" t="s">
        <v>114</v>
      </c>
      <c r="D3" s="29" t="s">
        <v>115</v>
      </c>
      <c r="E3" s="15" t="s">
        <v>116</v>
      </c>
      <c r="F3" s="14">
        <v>2.9609999999999999</v>
      </c>
      <c r="G3" s="41">
        <v>0.10100000000000001</v>
      </c>
      <c r="H3" s="52" t="s">
        <v>49</v>
      </c>
      <c r="I3" s="41">
        <v>0.1313</v>
      </c>
      <c r="J3" s="52" t="s">
        <v>65</v>
      </c>
      <c r="K3" s="18">
        <v>0.21429999999999999</v>
      </c>
      <c r="L3" s="18">
        <v>0</v>
      </c>
      <c r="M3" s="17">
        <v>0</v>
      </c>
      <c r="N3" s="17">
        <v>0</v>
      </c>
      <c r="O3" s="17">
        <v>0</v>
      </c>
      <c r="P3" s="14">
        <v>0</v>
      </c>
      <c r="Q3" s="14">
        <v>0</v>
      </c>
    </row>
    <row r="4" spans="1:17">
      <c r="A4" s="15" t="s">
        <v>113</v>
      </c>
      <c r="B4" s="15">
        <v>1</v>
      </c>
      <c r="C4" s="64" t="s">
        <v>114</v>
      </c>
      <c r="D4" s="29" t="s">
        <v>115</v>
      </c>
      <c r="E4" s="15" t="s">
        <v>117</v>
      </c>
      <c r="F4" s="14">
        <v>2.9609999999999999</v>
      </c>
      <c r="G4" s="41">
        <v>0.10100000000000001</v>
      </c>
      <c r="H4" s="30" t="s">
        <v>51</v>
      </c>
      <c r="I4" s="41">
        <v>0.1313</v>
      </c>
      <c r="J4" s="30" t="s">
        <v>49</v>
      </c>
      <c r="K4" s="18">
        <v>0.21429999999999999</v>
      </c>
      <c r="L4" s="18">
        <v>0</v>
      </c>
      <c r="M4" s="17">
        <v>0</v>
      </c>
      <c r="N4" s="17">
        <v>0</v>
      </c>
      <c r="O4" s="17">
        <v>0</v>
      </c>
      <c r="P4" s="14">
        <v>0</v>
      </c>
      <c r="Q4" s="14">
        <v>0</v>
      </c>
    </row>
    <row r="5" spans="1:17">
      <c r="A5" s="15" t="s">
        <v>113</v>
      </c>
      <c r="B5" s="22">
        <v>2</v>
      </c>
      <c r="C5" s="65" t="s">
        <v>118</v>
      </c>
      <c r="D5" s="21" t="s">
        <v>119</v>
      </c>
      <c r="E5" s="15" t="s">
        <v>134</v>
      </c>
      <c r="F5" s="14">
        <v>2.9609999999999999</v>
      </c>
      <c r="G5" s="41">
        <v>0.10100000000000001</v>
      </c>
      <c r="H5" s="30" t="s">
        <v>49</v>
      </c>
      <c r="I5" s="41">
        <v>0.1313</v>
      </c>
      <c r="J5" s="53" t="s">
        <v>65</v>
      </c>
      <c r="K5" s="44">
        <v>0.27039999999999997</v>
      </c>
      <c r="L5" s="54">
        <v>0.94320000000000004</v>
      </c>
      <c r="M5" s="17">
        <v>0</v>
      </c>
      <c r="N5" s="17">
        <v>0</v>
      </c>
      <c r="O5" s="17">
        <v>0</v>
      </c>
      <c r="P5" s="14" t="s">
        <v>135</v>
      </c>
      <c r="Q5" s="14">
        <v>0</v>
      </c>
    </row>
    <row r="6" spans="1:17">
      <c r="A6" s="15" t="s">
        <v>113</v>
      </c>
      <c r="B6" s="22">
        <v>2</v>
      </c>
      <c r="C6" s="65" t="s">
        <v>118</v>
      </c>
      <c r="D6" s="21" t="s">
        <v>119</v>
      </c>
      <c r="E6" s="22" t="s">
        <v>121</v>
      </c>
      <c r="F6" s="14">
        <v>2.9609999999999999</v>
      </c>
      <c r="G6" s="41">
        <v>0.10100000000000001</v>
      </c>
      <c r="H6" s="30" t="s">
        <v>51</v>
      </c>
      <c r="I6" s="41">
        <v>0.1313</v>
      </c>
      <c r="J6" s="31" t="s">
        <v>49</v>
      </c>
      <c r="K6" s="44">
        <v>0.27039999999999997</v>
      </c>
      <c r="L6" s="54">
        <v>0.94320000000000004</v>
      </c>
      <c r="M6" s="62">
        <v>0</v>
      </c>
      <c r="N6" s="62">
        <v>0</v>
      </c>
      <c r="O6" s="62">
        <v>0</v>
      </c>
      <c r="P6" s="14" t="s">
        <v>135</v>
      </c>
      <c r="Q6" s="34">
        <v>0</v>
      </c>
    </row>
    <row r="7" spans="1:17">
      <c r="A7" s="35" t="s">
        <v>113</v>
      </c>
      <c r="B7" s="35">
        <v>2</v>
      </c>
      <c r="C7" s="65" t="s">
        <v>118</v>
      </c>
      <c r="D7" s="21" t="s">
        <v>119</v>
      </c>
      <c r="E7" s="15" t="s">
        <v>122</v>
      </c>
      <c r="F7" s="14">
        <v>2.9609999999999999</v>
      </c>
      <c r="G7" s="41">
        <v>0.10100000000000001</v>
      </c>
      <c r="H7" s="30" t="s">
        <v>53</v>
      </c>
      <c r="I7" s="41">
        <v>0.1313</v>
      </c>
      <c r="J7" s="30" t="s">
        <v>49</v>
      </c>
      <c r="K7" s="44">
        <v>0.27039999999999997</v>
      </c>
      <c r="L7" s="54">
        <v>0.94320000000000004</v>
      </c>
      <c r="M7" s="62">
        <v>0</v>
      </c>
      <c r="N7" s="62">
        <v>0</v>
      </c>
      <c r="O7" s="62">
        <v>0</v>
      </c>
      <c r="P7" s="14" t="s">
        <v>135</v>
      </c>
      <c r="Q7" s="34">
        <v>0</v>
      </c>
    </row>
    <row r="8" spans="1:17">
      <c r="A8" s="35" t="s">
        <v>113</v>
      </c>
      <c r="B8" s="35">
        <v>2</v>
      </c>
      <c r="C8" s="65" t="s">
        <v>118</v>
      </c>
      <c r="D8" s="21" t="s">
        <v>119</v>
      </c>
      <c r="E8" s="15" t="s">
        <v>123</v>
      </c>
      <c r="F8" s="14">
        <v>2.9609999999999999</v>
      </c>
      <c r="G8" s="41">
        <v>0.10100000000000001</v>
      </c>
      <c r="H8" s="30" t="s">
        <v>57</v>
      </c>
      <c r="I8" s="41">
        <v>0.1313</v>
      </c>
      <c r="J8" s="30" t="s">
        <v>49</v>
      </c>
      <c r="K8" s="44">
        <v>0.27039999999999997</v>
      </c>
      <c r="L8" s="54">
        <v>0.94320000000000004</v>
      </c>
      <c r="M8" s="62">
        <v>0</v>
      </c>
      <c r="N8" s="62">
        <v>0</v>
      </c>
      <c r="O8" s="62">
        <v>0</v>
      </c>
      <c r="P8" s="14" t="s">
        <v>135</v>
      </c>
      <c r="Q8" s="34">
        <v>0</v>
      </c>
    </row>
    <row r="9" spans="1:17">
      <c r="A9" s="35" t="s">
        <v>113</v>
      </c>
      <c r="B9" s="35">
        <v>2</v>
      </c>
      <c r="C9" s="65" t="s">
        <v>118</v>
      </c>
      <c r="D9" s="21" t="s">
        <v>119</v>
      </c>
      <c r="E9" s="15" t="s">
        <v>124</v>
      </c>
      <c r="F9" s="14">
        <v>2.9609999999999999</v>
      </c>
      <c r="G9" s="41">
        <v>0.10100000000000001</v>
      </c>
      <c r="H9" s="30" t="s">
        <v>59</v>
      </c>
      <c r="I9" s="41">
        <v>0.1313</v>
      </c>
      <c r="J9" s="30" t="s">
        <v>71</v>
      </c>
      <c r="K9" s="44">
        <v>0.27039999999999997</v>
      </c>
      <c r="L9" s="54">
        <v>0.94320000000000004</v>
      </c>
      <c r="M9" s="62">
        <v>0</v>
      </c>
      <c r="N9" s="62">
        <v>0</v>
      </c>
      <c r="O9" s="62">
        <v>0</v>
      </c>
      <c r="P9" s="14" t="s">
        <v>135</v>
      </c>
      <c r="Q9" s="34">
        <v>0</v>
      </c>
    </row>
    <row r="10" spans="1:17">
      <c r="A10" s="35" t="s">
        <v>113</v>
      </c>
      <c r="B10" s="35">
        <v>2</v>
      </c>
      <c r="C10" s="65" t="s">
        <v>118</v>
      </c>
      <c r="D10" s="21" t="s">
        <v>119</v>
      </c>
      <c r="E10" s="15" t="s">
        <v>125</v>
      </c>
      <c r="F10" s="14">
        <v>2.9609999999999999</v>
      </c>
      <c r="G10" s="41">
        <v>0.10100000000000001</v>
      </c>
      <c r="H10" s="30" t="s">
        <v>62</v>
      </c>
      <c r="I10" s="41">
        <v>0.1313</v>
      </c>
      <c r="J10" s="30" t="s">
        <v>73</v>
      </c>
      <c r="K10" s="44">
        <v>0.27039999999999997</v>
      </c>
      <c r="L10" s="54">
        <v>0.94320000000000004</v>
      </c>
      <c r="M10" s="62">
        <v>0</v>
      </c>
      <c r="N10" s="62">
        <v>0</v>
      </c>
      <c r="O10" s="62">
        <v>0</v>
      </c>
      <c r="P10" s="14" t="s">
        <v>135</v>
      </c>
      <c r="Q10" s="34">
        <v>0</v>
      </c>
    </row>
    <row r="11" spans="1:17">
      <c r="A11" s="35" t="s">
        <v>113</v>
      </c>
      <c r="B11" s="35">
        <v>3</v>
      </c>
      <c r="C11" s="64" t="s">
        <v>126</v>
      </c>
      <c r="D11" s="29" t="s">
        <v>127</v>
      </c>
      <c r="E11" s="15" t="s">
        <v>128</v>
      </c>
      <c r="F11" s="14">
        <v>2.9609999999999999</v>
      </c>
      <c r="G11" s="41">
        <v>0.10100000000000001</v>
      </c>
      <c r="H11" s="30" t="s">
        <v>49</v>
      </c>
      <c r="I11" s="41">
        <v>0.1313</v>
      </c>
      <c r="J11" s="52" t="s">
        <v>65</v>
      </c>
      <c r="K11" s="18">
        <v>0.33179999999999998</v>
      </c>
      <c r="L11" s="18">
        <v>0.9718</v>
      </c>
      <c r="M11" s="62">
        <v>0</v>
      </c>
      <c r="N11" s="62">
        <v>0</v>
      </c>
      <c r="O11" s="62">
        <v>0</v>
      </c>
      <c r="P11" s="14">
        <v>-3.56E-2</v>
      </c>
      <c r="Q11" s="34">
        <v>0</v>
      </c>
    </row>
    <row r="12" spans="1:17">
      <c r="A12" s="35" t="s">
        <v>113</v>
      </c>
      <c r="B12" s="35">
        <v>3</v>
      </c>
      <c r="C12" s="64" t="s">
        <v>126</v>
      </c>
      <c r="D12" s="29" t="s">
        <v>127</v>
      </c>
      <c r="E12" s="15" t="s">
        <v>129</v>
      </c>
      <c r="F12" s="14">
        <v>2.9609999999999999</v>
      </c>
      <c r="G12" s="41">
        <v>0.10100000000000001</v>
      </c>
      <c r="H12" s="30" t="s">
        <v>51</v>
      </c>
      <c r="I12" s="41">
        <v>0.1313</v>
      </c>
      <c r="J12" s="30" t="s">
        <v>49</v>
      </c>
      <c r="K12" s="18">
        <v>0.33179999999999998</v>
      </c>
      <c r="L12" s="18">
        <v>0.9718</v>
      </c>
      <c r="M12" s="62">
        <v>0</v>
      </c>
      <c r="N12" s="62">
        <v>0</v>
      </c>
      <c r="O12" s="62">
        <v>0</v>
      </c>
      <c r="P12" s="14">
        <v>-3.56E-2</v>
      </c>
      <c r="Q12" s="34">
        <v>0</v>
      </c>
    </row>
    <row r="13" spans="1:17">
      <c r="A13" s="35" t="s">
        <v>113</v>
      </c>
      <c r="B13" s="35">
        <v>3</v>
      </c>
      <c r="C13" s="64" t="s">
        <v>126</v>
      </c>
      <c r="D13" s="29" t="s">
        <v>127</v>
      </c>
      <c r="E13" s="15" t="s">
        <v>122</v>
      </c>
      <c r="F13" s="14">
        <v>2.9609999999999999</v>
      </c>
      <c r="G13" s="41">
        <v>0.10100000000000001</v>
      </c>
      <c r="H13" s="30" t="s">
        <v>53</v>
      </c>
      <c r="I13" s="41">
        <v>0.1313</v>
      </c>
      <c r="J13" s="30" t="s">
        <v>49</v>
      </c>
      <c r="K13" s="18">
        <v>0.33179999999999998</v>
      </c>
      <c r="L13" s="18">
        <v>0.9718</v>
      </c>
      <c r="M13" s="62">
        <v>0</v>
      </c>
      <c r="N13" s="62">
        <v>0</v>
      </c>
      <c r="O13" s="62">
        <v>0</v>
      </c>
      <c r="P13" s="14">
        <v>-3.56E-2</v>
      </c>
      <c r="Q13" s="34">
        <v>0</v>
      </c>
    </row>
    <row r="14" spans="1:17">
      <c r="A14" s="35" t="s">
        <v>113</v>
      </c>
      <c r="B14" s="35">
        <v>3</v>
      </c>
      <c r="C14" s="64" t="s">
        <v>126</v>
      </c>
      <c r="D14" s="29" t="s">
        <v>127</v>
      </c>
      <c r="E14" s="15" t="s">
        <v>123</v>
      </c>
      <c r="F14" s="14">
        <v>2.9609999999999999</v>
      </c>
      <c r="G14" s="41">
        <v>0.10100000000000001</v>
      </c>
      <c r="H14" s="30" t="s">
        <v>57</v>
      </c>
      <c r="I14" s="41">
        <v>0.1313</v>
      </c>
      <c r="J14" s="30" t="s">
        <v>49</v>
      </c>
      <c r="K14" s="18">
        <v>0.33179999999999998</v>
      </c>
      <c r="L14" s="18">
        <v>0.9718</v>
      </c>
      <c r="M14" s="62">
        <v>0</v>
      </c>
      <c r="N14" s="62">
        <v>0</v>
      </c>
      <c r="O14" s="62">
        <v>0</v>
      </c>
      <c r="P14" s="14">
        <v>-3.56E-2</v>
      </c>
      <c r="Q14" s="34">
        <v>0</v>
      </c>
    </row>
    <row r="15" spans="1:17">
      <c r="A15" s="35" t="s">
        <v>113</v>
      </c>
      <c r="B15" s="35">
        <v>3</v>
      </c>
      <c r="C15" s="64" t="s">
        <v>126</v>
      </c>
      <c r="D15" s="29" t="s">
        <v>127</v>
      </c>
      <c r="E15" s="15" t="s">
        <v>124</v>
      </c>
      <c r="F15" s="14">
        <v>2.9609999999999999</v>
      </c>
      <c r="G15" s="41">
        <v>0.10100000000000001</v>
      </c>
      <c r="H15" s="30" t="s">
        <v>59</v>
      </c>
      <c r="I15" s="41">
        <v>0.1313</v>
      </c>
      <c r="J15" s="30" t="s">
        <v>71</v>
      </c>
      <c r="K15" s="18">
        <v>0.33179999999999998</v>
      </c>
      <c r="L15" s="18">
        <v>0.9718</v>
      </c>
      <c r="M15" s="62">
        <v>0</v>
      </c>
      <c r="N15" s="62">
        <v>0</v>
      </c>
      <c r="O15" s="62">
        <v>0</v>
      </c>
      <c r="P15" s="14">
        <v>-3.56E-2</v>
      </c>
      <c r="Q15" s="34">
        <v>0</v>
      </c>
    </row>
    <row r="16" spans="1:17">
      <c r="A16" s="35" t="s">
        <v>113</v>
      </c>
      <c r="B16" s="35">
        <v>3</v>
      </c>
      <c r="C16" s="65" t="s">
        <v>126</v>
      </c>
      <c r="D16" s="29" t="s">
        <v>127</v>
      </c>
      <c r="E16" s="15" t="s">
        <v>125</v>
      </c>
      <c r="F16" s="14">
        <v>2.9609999999999999</v>
      </c>
      <c r="G16" s="41">
        <v>0.10100000000000001</v>
      </c>
      <c r="H16" s="30" t="s">
        <v>62</v>
      </c>
      <c r="I16" s="41">
        <v>0.1313</v>
      </c>
      <c r="J16" s="30" t="s">
        <v>73</v>
      </c>
      <c r="K16" s="32">
        <v>0.33179999999999998</v>
      </c>
      <c r="L16" s="69">
        <v>0.9718</v>
      </c>
      <c r="M16" s="62">
        <v>0</v>
      </c>
      <c r="N16" s="62">
        <v>0</v>
      </c>
      <c r="O16" s="62">
        <v>0</v>
      </c>
      <c r="P16" s="59">
        <v>-3.56E-2</v>
      </c>
      <c r="Q16" s="34">
        <v>0</v>
      </c>
    </row>
    <row r="17" spans="1:17">
      <c r="A17" s="35" t="s">
        <v>113</v>
      </c>
      <c r="B17" s="35">
        <v>4</v>
      </c>
      <c r="C17" s="64" t="s">
        <v>130</v>
      </c>
      <c r="D17" s="29" t="s">
        <v>108</v>
      </c>
      <c r="E17" s="15" t="s">
        <v>128</v>
      </c>
      <c r="F17" s="14">
        <v>2.9609999999999999</v>
      </c>
      <c r="G17" s="41">
        <v>0.10100000000000001</v>
      </c>
      <c r="H17" s="30" t="s">
        <v>49</v>
      </c>
      <c r="I17" s="41">
        <v>0.1313</v>
      </c>
      <c r="J17" s="53" t="s">
        <v>65</v>
      </c>
      <c r="K17" s="18">
        <v>0.3886</v>
      </c>
      <c r="L17" s="18">
        <v>0.95420000000000005</v>
      </c>
      <c r="M17" s="62">
        <v>0</v>
      </c>
      <c r="N17" s="77">
        <v>-1.0322830999999999E-2</v>
      </c>
      <c r="O17" s="62">
        <v>0</v>
      </c>
      <c r="P17" s="14" t="s">
        <v>80</v>
      </c>
      <c r="Q17" s="34">
        <v>0</v>
      </c>
    </row>
    <row r="18" spans="1:17">
      <c r="A18" s="35" t="s">
        <v>113</v>
      </c>
      <c r="B18" s="35">
        <v>4</v>
      </c>
      <c r="C18" s="64" t="s">
        <v>130</v>
      </c>
      <c r="D18" s="29" t="s">
        <v>108</v>
      </c>
      <c r="E18" s="15" t="s">
        <v>129</v>
      </c>
      <c r="F18" s="14">
        <v>2.9609999999999999</v>
      </c>
      <c r="G18" s="41">
        <v>0.10100000000000001</v>
      </c>
      <c r="H18" s="30" t="s">
        <v>51</v>
      </c>
      <c r="I18" s="41">
        <v>0.1313</v>
      </c>
      <c r="J18" s="38" t="s">
        <v>49</v>
      </c>
      <c r="K18" s="18">
        <v>0.3886</v>
      </c>
      <c r="L18" s="18">
        <v>0.95420000000000005</v>
      </c>
      <c r="M18" s="62">
        <v>0</v>
      </c>
      <c r="N18" s="77">
        <v>-1.0322830999999999E-2</v>
      </c>
      <c r="O18" s="62">
        <v>0</v>
      </c>
      <c r="P18" s="14" t="s">
        <v>80</v>
      </c>
      <c r="Q18" s="34">
        <v>0</v>
      </c>
    </row>
    <row r="19" spans="1:17">
      <c r="A19" s="35" t="s">
        <v>113</v>
      </c>
      <c r="B19" s="35">
        <v>4</v>
      </c>
      <c r="C19" s="64" t="s">
        <v>130</v>
      </c>
      <c r="D19" s="29" t="s">
        <v>108</v>
      </c>
      <c r="E19" s="15" t="s">
        <v>122</v>
      </c>
      <c r="F19" s="14">
        <v>2.9609999999999999</v>
      </c>
      <c r="G19" s="41">
        <v>0.10100000000000001</v>
      </c>
      <c r="H19" s="30" t="s">
        <v>53</v>
      </c>
      <c r="I19" s="41">
        <v>0.1313</v>
      </c>
      <c r="J19" s="38" t="s">
        <v>49</v>
      </c>
      <c r="K19" s="18">
        <v>0.3886</v>
      </c>
      <c r="L19" s="18">
        <v>0.95420000000000005</v>
      </c>
      <c r="M19" s="62">
        <v>0</v>
      </c>
      <c r="N19" s="77">
        <v>-1.0322830999999999E-2</v>
      </c>
      <c r="O19" s="62">
        <v>0</v>
      </c>
      <c r="P19" s="14" t="s">
        <v>80</v>
      </c>
      <c r="Q19" s="34">
        <v>0</v>
      </c>
    </row>
    <row r="20" spans="1:17">
      <c r="A20" s="35" t="s">
        <v>113</v>
      </c>
      <c r="B20" s="35">
        <v>4</v>
      </c>
      <c r="C20" s="64" t="s">
        <v>130</v>
      </c>
      <c r="D20" s="29" t="s">
        <v>108</v>
      </c>
      <c r="E20" s="15" t="s">
        <v>123</v>
      </c>
      <c r="F20" s="14">
        <v>2.9609999999999999</v>
      </c>
      <c r="G20" s="41">
        <v>0.10100000000000001</v>
      </c>
      <c r="H20" s="30" t="s">
        <v>57</v>
      </c>
      <c r="I20" s="41">
        <v>0.1313</v>
      </c>
      <c r="J20" s="38" t="s">
        <v>49</v>
      </c>
      <c r="K20" s="18">
        <v>0.3886</v>
      </c>
      <c r="L20" s="18">
        <v>0.95420000000000005</v>
      </c>
      <c r="M20" s="62">
        <v>0</v>
      </c>
      <c r="N20" s="77">
        <v>-1.0322830999999999E-2</v>
      </c>
      <c r="O20" s="62">
        <v>0</v>
      </c>
      <c r="P20" s="14" t="s">
        <v>80</v>
      </c>
      <c r="Q20" s="34">
        <v>0</v>
      </c>
    </row>
    <row r="21" spans="1:17">
      <c r="A21" s="35" t="s">
        <v>113</v>
      </c>
      <c r="B21" s="35">
        <v>4</v>
      </c>
      <c r="C21" s="64" t="s">
        <v>130</v>
      </c>
      <c r="D21" s="29" t="s">
        <v>108</v>
      </c>
      <c r="E21" s="15" t="s">
        <v>124</v>
      </c>
      <c r="F21" s="14">
        <v>2.9609999999999999</v>
      </c>
      <c r="G21" s="41">
        <v>0.10100000000000001</v>
      </c>
      <c r="H21" s="30" t="s">
        <v>59</v>
      </c>
      <c r="I21" s="41">
        <v>0.1313</v>
      </c>
      <c r="J21" s="38" t="s">
        <v>71</v>
      </c>
      <c r="K21" s="18">
        <v>0.3886</v>
      </c>
      <c r="L21" s="18">
        <v>0.95420000000000005</v>
      </c>
      <c r="M21" s="62">
        <v>0</v>
      </c>
      <c r="N21" s="77">
        <v>-1.0322830999999999E-2</v>
      </c>
      <c r="O21" s="62">
        <v>0</v>
      </c>
      <c r="P21" s="14" t="s">
        <v>80</v>
      </c>
      <c r="Q21" s="34">
        <v>0</v>
      </c>
    </row>
    <row r="22" spans="1:17">
      <c r="A22" s="35" t="s">
        <v>113</v>
      </c>
      <c r="B22" s="35">
        <v>4</v>
      </c>
      <c r="C22" s="65" t="s">
        <v>130</v>
      </c>
      <c r="D22" s="60" t="s">
        <v>108</v>
      </c>
      <c r="E22" s="15" t="s">
        <v>125</v>
      </c>
      <c r="F22" s="14">
        <v>2.9609999999999999</v>
      </c>
      <c r="G22" s="41">
        <v>0.10100000000000001</v>
      </c>
      <c r="H22" s="30" t="s">
        <v>62</v>
      </c>
      <c r="I22" s="41">
        <v>0.1313</v>
      </c>
      <c r="J22" s="38" t="s">
        <v>73</v>
      </c>
      <c r="K22" s="18">
        <v>0.3886</v>
      </c>
      <c r="L22" s="72">
        <v>0.95420000000000005</v>
      </c>
      <c r="M22" s="17">
        <v>0</v>
      </c>
      <c r="N22" s="77">
        <v>-1.0322830999999999E-2</v>
      </c>
      <c r="O22" s="17">
        <v>0</v>
      </c>
      <c r="P22" s="14" t="s">
        <v>80</v>
      </c>
      <c r="Q22" s="14">
        <v>0</v>
      </c>
    </row>
    <row r="23" spans="1:17">
      <c r="A23" s="2"/>
      <c r="B23" s="2"/>
      <c r="C23" s="40"/>
      <c r="D23" s="2"/>
      <c r="E23" s="2"/>
      <c r="F23" s="46"/>
      <c r="G23" s="46"/>
      <c r="H23" s="46"/>
      <c r="I23" s="46"/>
      <c r="J23" s="46"/>
      <c r="K23" s="47"/>
      <c r="L23" s="48"/>
      <c r="M23" s="45"/>
      <c r="N23" s="49"/>
      <c r="O23" s="45"/>
      <c r="P23" s="45"/>
      <c r="Q23" s="45"/>
    </row>
    <row r="24" spans="1:17">
      <c r="A24" t="s">
        <v>136</v>
      </c>
    </row>
    <row r="25" spans="1:17">
      <c r="A25" t="s">
        <v>137</v>
      </c>
    </row>
    <row r="26" spans="1:17">
      <c r="E26" s="2"/>
      <c r="F26" s="2" t="s">
        <v>39</v>
      </c>
      <c r="G26" s="2"/>
      <c r="H26" s="2"/>
      <c r="I26" s="2"/>
    </row>
    <row r="27" spans="1:17">
      <c r="E27" s="8" t="s">
        <v>74</v>
      </c>
      <c r="F27" s="8"/>
      <c r="G27" s="8"/>
      <c r="H27" s="8"/>
      <c r="I27" s="8"/>
      <c r="J27" s="8"/>
      <c r="K27" s="8"/>
    </row>
    <row r="28" spans="1:17">
      <c r="E28" s="55" t="s">
        <v>77</v>
      </c>
      <c r="G28" s="2"/>
      <c r="H28" s="2"/>
      <c r="I28" s="2"/>
    </row>
    <row r="29" spans="1:17">
      <c r="E29" t="s">
        <v>81</v>
      </c>
      <c r="G29" s="2"/>
      <c r="H29" s="2"/>
      <c r="I29" s="2"/>
    </row>
    <row r="30" spans="1:17">
      <c r="E30" s="9" t="s">
        <v>82</v>
      </c>
      <c r="G30" s="2"/>
      <c r="H30" s="2"/>
      <c r="I30" s="2"/>
    </row>
    <row r="31" spans="1:17">
      <c r="E31" s="193" t="s">
        <v>84</v>
      </c>
      <c r="G31" s="2"/>
      <c r="H31" s="2"/>
      <c r="I31" s="2"/>
    </row>
    <row r="32" spans="1:17">
      <c r="E32" s="193" t="s">
        <v>86</v>
      </c>
      <c r="G32" s="2"/>
      <c r="H32" s="2"/>
      <c r="I32" s="2"/>
    </row>
    <row r="33" spans="5:9">
      <c r="E33" s="193" t="s">
        <v>87</v>
      </c>
      <c r="G33" s="2"/>
      <c r="H33" s="2"/>
      <c r="I33" s="2"/>
    </row>
    <row r="34" spans="5:9">
      <c r="E34" s="193" t="s">
        <v>42</v>
      </c>
      <c r="G34" s="2"/>
      <c r="H34" s="2"/>
      <c r="I34" s="2"/>
    </row>
    <row r="35" spans="5:9">
      <c r="E35" s="193" t="s">
        <v>46</v>
      </c>
      <c r="G35" s="2"/>
      <c r="H35" s="2"/>
      <c r="I35" s="2"/>
    </row>
    <row r="36" spans="5:9">
      <c r="E36" s="193" t="s">
        <v>43</v>
      </c>
      <c r="G36" s="2"/>
      <c r="H36" s="2"/>
      <c r="I36" s="2"/>
    </row>
    <row r="37" spans="5:9">
      <c r="E37" s="193" t="s">
        <v>47</v>
      </c>
    </row>
    <row r="38" spans="5:9">
      <c r="E38" s="193" t="s">
        <v>44</v>
      </c>
    </row>
    <row r="39" spans="5:9">
      <c r="E39" s="193" t="s">
        <v>89</v>
      </c>
    </row>
    <row r="40" spans="5:9">
      <c r="E40" s="193" t="s">
        <v>90</v>
      </c>
    </row>
  </sheetData>
  <autoFilter ref="A2:Q22" xr:uid="{06C9F578-5BDD-4F26-A063-D4EC0ABA45AF}">
    <filterColumn colId="4">
      <filters>
        <filter val="Portão/São Sebastião do Caí"/>
        <filter val="São Sebastião do Caí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706C-97DD-4998-8BDA-7F7743997078}">
  <sheetPr filterMode="1"/>
  <dimension ref="A1:U26"/>
  <sheetViews>
    <sheetView topLeftCell="E1" workbookViewId="0">
      <selection activeCell="Q20" sqref="Q20"/>
    </sheetView>
  </sheetViews>
  <sheetFormatPr defaultRowHeight="15"/>
  <cols>
    <col min="1" max="1" width="16" customWidth="1"/>
    <col min="2" max="2" width="19.7109375" customWidth="1"/>
    <col min="3" max="3" width="20.85546875" customWidth="1"/>
    <col min="4" max="4" width="22.28515625" customWidth="1"/>
    <col min="5" max="5" width="30" customWidth="1"/>
    <col min="6" max="6" width="15.7109375" customWidth="1"/>
    <col min="7" max="7" width="15.42578125" customWidth="1"/>
    <col min="8" max="8" width="16.5703125" customWidth="1"/>
    <col min="9" max="9" width="15.42578125" customWidth="1"/>
    <col min="10" max="10" width="15" customWidth="1"/>
    <col min="11" max="11" width="29.85546875" customWidth="1"/>
    <col min="12" max="12" width="16.85546875" customWidth="1"/>
    <col min="13" max="13" width="12" bestFit="1" customWidth="1"/>
    <col min="14" max="14" width="13.42578125" customWidth="1"/>
    <col min="15" max="15" width="11.5703125" customWidth="1"/>
    <col min="16" max="16" width="13.5703125" customWidth="1"/>
    <col min="17" max="17" width="12.7109375" customWidth="1"/>
    <col min="18" max="18" width="12.140625" customWidth="1"/>
    <col min="19" max="19" width="38.42578125" customWidth="1"/>
    <col min="20" max="20" width="13.28515625" customWidth="1"/>
  </cols>
  <sheetData>
    <row r="1" spans="1:20">
      <c r="G1" t="s">
        <v>111</v>
      </c>
    </row>
    <row r="2" spans="1:20">
      <c r="A2" s="27" t="s">
        <v>94</v>
      </c>
      <c r="B2" s="27" t="s">
        <v>95</v>
      </c>
      <c r="C2" s="27" t="s">
        <v>96</v>
      </c>
      <c r="D2" s="27" t="s">
        <v>97</v>
      </c>
      <c r="E2" s="27" t="s">
        <v>112</v>
      </c>
      <c r="F2" s="42" t="s">
        <v>41</v>
      </c>
      <c r="G2" s="15" t="s">
        <v>45</v>
      </c>
      <c r="H2" s="15" t="s">
        <v>131</v>
      </c>
      <c r="I2" s="15" t="s">
        <v>132</v>
      </c>
      <c r="J2" s="35" t="s">
        <v>133</v>
      </c>
      <c r="K2" s="15" t="s">
        <v>138</v>
      </c>
      <c r="L2" s="51" t="s">
        <v>28</v>
      </c>
      <c r="M2" s="20" t="s">
        <v>30</v>
      </c>
      <c r="N2" s="20" t="s">
        <v>31</v>
      </c>
      <c r="O2" s="20" t="s">
        <v>32</v>
      </c>
      <c r="P2" s="19" t="s">
        <v>33</v>
      </c>
      <c r="Q2" s="22" t="s">
        <v>69</v>
      </c>
      <c r="R2" s="42" t="s">
        <v>34</v>
      </c>
      <c r="S2" s="15" t="s">
        <v>37</v>
      </c>
    </row>
    <row r="3" spans="1:20">
      <c r="A3" s="15" t="s">
        <v>113</v>
      </c>
      <c r="B3" s="22">
        <v>1</v>
      </c>
      <c r="C3" s="64" t="s">
        <v>114</v>
      </c>
      <c r="D3" s="29" t="s">
        <v>115</v>
      </c>
      <c r="E3" s="35" t="s">
        <v>116</v>
      </c>
      <c r="F3" s="16">
        <v>2.9609999999999999</v>
      </c>
      <c r="G3" s="14">
        <v>0.10100000000000001</v>
      </c>
      <c r="H3" s="30" t="s">
        <v>49</v>
      </c>
      <c r="I3" s="14">
        <v>0.1313</v>
      </c>
      <c r="J3" s="30" t="s">
        <v>65</v>
      </c>
      <c r="K3" s="81">
        <f>(F3+I3*52.29)</f>
        <v>9.8266770000000001</v>
      </c>
      <c r="L3" s="50">
        <f>K3*'CSG2'!K3</f>
        <v>2.1058568810999998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6">
        <v>0</v>
      </c>
      <c r="S3" s="14">
        <f>SUM(K3:R3)</f>
        <v>11.932533881099999</v>
      </c>
    </row>
    <row r="4" spans="1:20">
      <c r="A4" s="15" t="s">
        <v>113</v>
      </c>
      <c r="B4" s="15">
        <v>1</v>
      </c>
      <c r="C4" s="64" t="s">
        <v>114</v>
      </c>
      <c r="D4" s="29" t="s">
        <v>115</v>
      </c>
      <c r="E4" s="35" t="s">
        <v>117</v>
      </c>
      <c r="F4" s="14">
        <v>2.9609999999999999</v>
      </c>
      <c r="G4" s="41">
        <v>0.10100000000000001</v>
      </c>
      <c r="H4" s="52" t="s">
        <v>51</v>
      </c>
      <c r="I4" s="41">
        <v>0.1313</v>
      </c>
      <c r="J4" s="52" t="s">
        <v>49</v>
      </c>
      <c r="K4" s="81">
        <f>(F4+G4*38.53)</f>
        <v>6.8525299999999998</v>
      </c>
      <c r="L4" s="50">
        <f>K4*'CSG2'!K4</f>
        <v>1.4684971789999999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6">
        <v>0</v>
      </c>
      <c r="S4" s="14">
        <f>K4+L4</f>
        <v>8.3210271789999997</v>
      </c>
    </row>
    <row r="5" spans="1:20">
      <c r="A5" s="15" t="s">
        <v>113</v>
      </c>
      <c r="B5" s="22">
        <v>2</v>
      </c>
      <c r="C5" s="65" t="s">
        <v>118</v>
      </c>
      <c r="D5" s="21" t="s">
        <v>119</v>
      </c>
      <c r="E5" s="35" t="s">
        <v>134</v>
      </c>
      <c r="F5" s="14">
        <v>2.9609999999999999</v>
      </c>
      <c r="G5" s="41">
        <v>0.10100000000000001</v>
      </c>
      <c r="H5" s="30" t="s">
        <v>49</v>
      </c>
      <c r="I5" s="41">
        <v>0.1313</v>
      </c>
      <c r="J5" s="53" t="s">
        <v>65</v>
      </c>
      <c r="K5" s="80">
        <f>F5+I5*52.29</f>
        <v>9.8266770000000001</v>
      </c>
      <c r="L5" s="14">
        <f>S5-K5-M5-Q5</f>
        <v>1.6445510520602524</v>
      </c>
      <c r="M5" s="14">
        <f>K5*0.1*'CSG2'!L5</f>
        <v>0.92685217464000003</v>
      </c>
      <c r="N5" s="14">
        <v>0</v>
      </c>
      <c r="O5" s="14">
        <v>0</v>
      </c>
      <c r="P5" s="14">
        <v>0</v>
      </c>
      <c r="Q5" s="14">
        <f>-0.0607/1.2704</f>
        <v>-4.7780226700251886E-2</v>
      </c>
      <c r="R5" s="16">
        <v>0</v>
      </c>
      <c r="S5" s="14">
        <v>12.350300000000001</v>
      </c>
    </row>
    <row r="6" spans="1:20">
      <c r="A6" s="15" t="s">
        <v>113</v>
      </c>
      <c r="B6" s="22">
        <v>2</v>
      </c>
      <c r="C6" s="65" t="s">
        <v>118</v>
      </c>
      <c r="D6" s="21" t="s">
        <v>119</v>
      </c>
      <c r="E6" s="25" t="s">
        <v>121</v>
      </c>
      <c r="F6" s="14">
        <v>2.9609999999999999</v>
      </c>
      <c r="G6" s="41">
        <v>0.10100000000000001</v>
      </c>
      <c r="H6" s="30" t="s">
        <v>51</v>
      </c>
      <c r="I6" s="41">
        <v>0.1313</v>
      </c>
      <c r="J6" s="31" t="s">
        <v>49</v>
      </c>
      <c r="K6" s="34">
        <f>K4</f>
        <v>6.8525299999999998</v>
      </c>
      <c r="L6" s="14">
        <f>S6-K6-M6-Q6</f>
        <v>1.1428195971002517</v>
      </c>
      <c r="M6" s="14">
        <f>K6*0.1*'CSG2'!L6</f>
        <v>0.64633062959999998</v>
      </c>
      <c r="N6" s="14">
        <v>0</v>
      </c>
      <c r="O6" s="14">
        <v>0</v>
      </c>
      <c r="P6" s="14">
        <v>0</v>
      </c>
      <c r="Q6" s="14">
        <f t="shared" ref="Q6:Q10" si="0">-0.0607/1.2704</f>
        <v>-4.7780226700251886E-2</v>
      </c>
      <c r="R6" s="16">
        <v>0</v>
      </c>
      <c r="S6" s="14">
        <v>8.5938999999999997</v>
      </c>
      <c r="T6" s="3"/>
    </row>
    <row r="7" spans="1:20">
      <c r="A7" s="35" t="s">
        <v>113</v>
      </c>
      <c r="B7" s="35">
        <v>2</v>
      </c>
      <c r="C7" s="65" t="s">
        <v>118</v>
      </c>
      <c r="D7" s="21" t="s">
        <v>119</v>
      </c>
      <c r="E7" s="35" t="s">
        <v>122</v>
      </c>
      <c r="F7" s="14">
        <v>2.9609999999999999</v>
      </c>
      <c r="G7" s="41">
        <v>0.10100000000000001</v>
      </c>
      <c r="H7" s="30" t="s">
        <v>53</v>
      </c>
      <c r="I7" s="41">
        <v>0.1313</v>
      </c>
      <c r="J7" s="30" t="s">
        <v>49</v>
      </c>
      <c r="K7" s="14">
        <f>F6+G6*38.94</f>
        <v>6.8939399999999997</v>
      </c>
      <c r="L7" s="14">
        <f>S7-K7-M7-Q7</f>
        <v>1.1498038059002522</v>
      </c>
      <c r="M7" s="14">
        <f>K7*0.1*'CSG2'!L7</f>
        <v>0.6502364208000001</v>
      </c>
      <c r="N7" s="14">
        <v>0</v>
      </c>
      <c r="O7" s="14">
        <v>0</v>
      </c>
      <c r="P7" s="14">
        <v>0</v>
      </c>
      <c r="Q7" s="14">
        <f t="shared" si="0"/>
        <v>-4.7780226700251886E-2</v>
      </c>
      <c r="R7" s="16">
        <v>0</v>
      </c>
      <c r="S7" s="14">
        <v>8.6462000000000003</v>
      </c>
    </row>
    <row r="8" spans="1:20">
      <c r="A8" s="35" t="s">
        <v>113</v>
      </c>
      <c r="B8" s="35">
        <v>2</v>
      </c>
      <c r="C8" s="65" t="s">
        <v>118</v>
      </c>
      <c r="D8" s="21" t="s">
        <v>119</v>
      </c>
      <c r="E8" s="35" t="s">
        <v>123</v>
      </c>
      <c r="F8" s="14">
        <v>2.9609999999999999</v>
      </c>
      <c r="G8" s="41">
        <v>0.10100000000000001</v>
      </c>
      <c r="H8" s="30" t="s">
        <v>57</v>
      </c>
      <c r="I8" s="41">
        <v>0.1313</v>
      </c>
      <c r="J8" s="30" t="s">
        <v>49</v>
      </c>
      <c r="K8" s="14">
        <f>(F8+G8*41.87)</f>
        <v>7.1898699999999991</v>
      </c>
      <c r="L8" s="14">
        <f>S8-K8-M8-Q8</f>
        <v>1.1996616883002527</v>
      </c>
      <c r="M8" s="14">
        <f>K8*0.1*'CSG2'!L8</f>
        <v>0.6781485384</v>
      </c>
      <c r="N8" s="14">
        <v>0</v>
      </c>
      <c r="O8" s="14">
        <v>0</v>
      </c>
      <c r="P8" s="14">
        <v>0</v>
      </c>
      <c r="Q8" s="14">
        <f t="shared" si="0"/>
        <v>-4.7780226700251886E-2</v>
      </c>
      <c r="R8" s="16">
        <v>0</v>
      </c>
      <c r="S8" s="14">
        <v>9.0198999999999998</v>
      </c>
    </row>
    <row r="9" spans="1:20">
      <c r="A9" s="35" t="s">
        <v>113</v>
      </c>
      <c r="B9" s="35">
        <v>2</v>
      </c>
      <c r="C9" s="65" t="s">
        <v>118</v>
      </c>
      <c r="D9" s="21" t="s">
        <v>119</v>
      </c>
      <c r="E9" s="35" t="s">
        <v>124</v>
      </c>
      <c r="F9" s="14">
        <v>2.9609999999999999</v>
      </c>
      <c r="G9" s="41">
        <v>0.10100000000000001</v>
      </c>
      <c r="H9" s="30" t="s">
        <v>59</v>
      </c>
      <c r="I9" s="41">
        <v>0.1313</v>
      </c>
      <c r="J9" s="30" t="s">
        <v>71</v>
      </c>
      <c r="K9" s="14">
        <f>(F9+G9*42.93+I9*9.16)</f>
        <v>8.4996379999999991</v>
      </c>
      <c r="L9" s="14">
        <f>S9-K9-M9-Q9</f>
        <v>1.4204563705402522</v>
      </c>
      <c r="M9" s="14">
        <f>K9*0.1*'CSG2'!L9</f>
        <v>0.80168585615999999</v>
      </c>
      <c r="N9" s="14">
        <v>0</v>
      </c>
      <c r="O9" s="14">
        <v>0</v>
      </c>
      <c r="P9" s="14">
        <v>0</v>
      </c>
      <c r="Q9" s="14">
        <f t="shared" si="0"/>
        <v>-4.7780226700251886E-2</v>
      </c>
      <c r="R9" s="16">
        <v>0</v>
      </c>
      <c r="S9" s="14">
        <v>10.673999999999999</v>
      </c>
    </row>
    <row r="10" spans="1:20">
      <c r="A10" s="35" t="s">
        <v>113</v>
      </c>
      <c r="B10" s="35">
        <v>2</v>
      </c>
      <c r="C10" s="65" t="s">
        <v>118</v>
      </c>
      <c r="D10" s="21" t="s">
        <v>119</v>
      </c>
      <c r="E10" s="35" t="s">
        <v>125</v>
      </c>
      <c r="F10" s="14">
        <v>2.9609999999999999</v>
      </c>
      <c r="G10" s="41">
        <v>0.10100000000000001</v>
      </c>
      <c r="H10" s="30" t="s">
        <v>62</v>
      </c>
      <c r="I10" s="41">
        <v>0.1313</v>
      </c>
      <c r="J10" s="30" t="s">
        <v>73</v>
      </c>
      <c r="K10" s="14">
        <f>(F10+G10*45.8+2.02*I10)</f>
        <v>7.8520260000000004</v>
      </c>
      <c r="L10" s="14">
        <f>S10-K10-M10-Q10</f>
        <v>1.3112511343802509</v>
      </c>
      <c r="M10" s="14">
        <f>K10*0.1*'CSG2'!L10</f>
        <v>0.7406030923200001</v>
      </c>
      <c r="N10" s="14">
        <v>0</v>
      </c>
      <c r="O10" s="14">
        <v>0</v>
      </c>
      <c r="P10" s="14">
        <v>0</v>
      </c>
      <c r="Q10" s="14">
        <f t="shared" si="0"/>
        <v>-4.7780226700251886E-2</v>
      </c>
      <c r="R10" s="16">
        <v>0</v>
      </c>
      <c r="S10" s="14">
        <v>9.8560999999999996</v>
      </c>
    </row>
    <row r="11" spans="1:20">
      <c r="A11" s="35" t="s">
        <v>113</v>
      </c>
      <c r="B11" s="35">
        <v>3</v>
      </c>
      <c r="C11" s="64" t="s">
        <v>126</v>
      </c>
      <c r="D11" s="29" t="s">
        <v>127</v>
      </c>
      <c r="E11" s="35" t="s">
        <v>128</v>
      </c>
      <c r="F11" s="14">
        <v>2.9609999999999999</v>
      </c>
      <c r="G11" s="41">
        <v>0.10100000000000001</v>
      </c>
      <c r="H11" s="30" t="s">
        <v>49</v>
      </c>
      <c r="I11" s="41">
        <v>0.1313</v>
      </c>
      <c r="J11" s="52" t="s">
        <v>65</v>
      </c>
      <c r="K11" s="41">
        <f>K5</f>
        <v>9.8266770000000001</v>
      </c>
      <c r="L11" s="14">
        <f>S11-K11-M11-Q11</f>
        <v>2.2579972694914043</v>
      </c>
      <c r="M11" s="14">
        <f>K11*0.1*'CSG2'!L11</f>
        <v>0.95495647086000002</v>
      </c>
      <c r="N11" s="14">
        <v>0</v>
      </c>
      <c r="O11" s="14">
        <v>0</v>
      </c>
      <c r="P11" s="14">
        <v>0</v>
      </c>
      <c r="Q11" s="33">
        <f>-0.0356/1.3318</f>
        <v>-2.6730740351404114E-2</v>
      </c>
      <c r="R11" s="16">
        <v>0</v>
      </c>
      <c r="S11" s="14">
        <v>13.0129</v>
      </c>
    </row>
    <row r="12" spans="1:20">
      <c r="A12" s="35" t="s">
        <v>113</v>
      </c>
      <c r="B12" s="35">
        <v>3</v>
      </c>
      <c r="C12" s="64" t="s">
        <v>126</v>
      </c>
      <c r="D12" s="29" t="s">
        <v>127</v>
      </c>
      <c r="E12" s="35" t="s">
        <v>129</v>
      </c>
      <c r="F12" s="14">
        <v>2.9609999999999999</v>
      </c>
      <c r="G12" s="41">
        <v>0.10100000000000001</v>
      </c>
      <c r="H12" s="30" t="s">
        <v>51</v>
      </c>
      <c r="I12" s="41">
        <v>0.1313</v>
      </c>
      <c r="J12" s="30" t="s">
        <v>49</v>
      </c>
      <c r="K12" s="14">
        <f>K6</f>
        <v>6.8525299999999998</v>
      </c>
      <c r="L12" s="14">
        <f>S12-K12-M12-Q12</f>
        <v>1.5717718749514038</v>
      </c>
      <c r="M12" s="14">
        <f>K12*0.1*'CSG2'!L12</f>
        <v>0.66592886539999996</v>
      </c>
      <c r="N12" s="14">
        <v>0</v>
      </c>
      <c r="O12" s="14">
        <v>0</v>
      </c>
      <c r="P12" s="14">
        <v>0</v>
      </c>
      <c r="Q12" s="33">
        <f t="shared" ref="Q12:Q16" si="1">-0.0356/1.3318</f>
        <v>-2.6730740351404114E-2</v>
      </c>
      <c r="R12" s="16">
        <v>0</v>
      </c>
      <c r="S12" s="14">
        <v>9.0634999999999994</v>
      </c>
    </row>
    <row r="13" spans="1:20">
      <c r="A13" s="35" t="s">
        <v>113</v>
      </c>
      <c r="B13" s="35">
        <v>3</v>
      </c>
      <c r="C13" s="64" t="s">
        <v>126</v>
      </c>
      <c r="D13" s="29" t="s">
        <v>127</v>
      </c>
      <c r="E13" s="35" t="s">
        <v>122</v>
      </c>
      <c r="F13" s="14">
        <v>2.9609999999999999</v>
      </c>
      <c r="G13" s="41">
        <v>0.10100000000000001</v>
      </c>
      <c r="H13" s="30" t="s">
        <v>53</v>
      </c>
      <c r="I13" s="41">
        <v>0.1313</v>
      </c>
      <c r="J13" s="30" t="s">
        <v>49</v>
      </c>
      <c r="K13" s="14">
        <f>F14+G14*38.94</f>
        <v>6.8939399999999997</v>
      </c>
      <c r="L13" s="14">
        <f>S13-K13-M13-Q13</f>
        <v>1.5793376511514046</v>
      </c>
      <c r="M13" s="14">
        <f>K13*0.1*'CSG2'!L13</f>
        <v>0.66995308920000007</v>
      </c>
      <c r="N13" s="14">
        <v>0</v>
      </c>
      <c r="O13" s="14">
        <v>0</v>
      </c>
      <c r="P13" s="14">
        <v>0</v>
      </c>
      <c r="Q13" s="33">
        <f t="shared" si="1"/>
        <v>-2.6730740351404114E-2</v>
      </c>
      <c r="R13" s="16">
        <v>0</v>
      </c>
      <c r="S13" s="14">
        <v>9.1165000000000003</v>
      </c>
    </row>
    <row r="14" spans="1:20">
      <c r="A14" s="35" t="s">
        <v>113</v>
      </c>
      <c r="B14" s="35">
        <v>3</v>
      </c>
      <c r="C14" s="64" t="s">
        <v>126</v>
      </c>
      <c r="D14" s="29" t="s">
        <v>127</v>
      </c>
      <c r="E14" s="35" t="s">
        <v>123</v>
      </c>
      <c r="F14" s="14">
        <v>2.9609999999999999</v>
      </c>
      <c r="G14" s="41">
        <v>0.10100000000000001</v>
      </c>
      <c r="H14" s="30" t="s">
        <v>57</v>
      </c>
      <c r="I14" s="41">
        <v>0.1313</v>
      </c>
      <c r="J14" s="30" t="s">
        <v>49</v>
      </c>
      <c r="K14" s="34">
        <f>F14+G14*41.87</f>
        <v>7.1898699999999991</v>
      </c>
      <c r="L14" s="34">
        <f>S14-K14-M14-Q14</f>
        <v>1.6525491737514053</v>
      </c>
      <c r="M14" s="14">
        <f>K14*0.1*'CSG2'!L14</f>
        <v>0.69871156659999989</v>
      </c>
      <c r="N14" s="14">
        <v>0</v>
      </c>
      <c r="O14" s="14">
        <v>0</v>
      </c>
      <c r="P14" s="14">
        <v>0</v>
      </c>
      <c r="Q14" s="33">
        <f t="shared" si="1"/>
        <v>-2.6730740351404114E-2</v>
      </c>
      <c r="R14" s="16">
        <v>0</v>
      </c>
      <c r="S14" s="14">
        <v>9.5144000000000002</v>
      </c>
    </row>
    <row r="15" spans="1:20">
      <c r="A15" s="35" t="s">
        <v>113</v>
      </c>
      <c r="B15" s="35">
        <v>3</v>
      </c>
      <c r="C15" s="64" t="s">
        <v>126</v>
      </c>
      <c r="D15" s="29" t="s">
        <v>127</v>
      </c>
      <c r="E15" s="35" t="s">
        <v>124</v>
      </c>
      <c r="F15" s="14">
        <v>2.9609999999999999</v>
      </c>
      <c r="G15" s="41">
        <v>0.10100000000000001</v>
      </c>
      <c r="H15" s="30" t="s">
        <v>59</v>
      </c>
      <c r="I15" s="41">
        <v>0.1313</v>
      </c>
      <c r="J15" s="30" t="s">
        <v>71</v>
      </c>
      <c r="K15" s="34">
        <f>(F15+G15*42.93+I15*9.16)</f>
        <v>8.4996379999999991</v>
      </c>
      <c r="L15" s="14">
        <f>S15-K15-M15-Q15</f>
        <v>1.9514979195114057</v>
      </c>
      <c r="M15" s="14">
        <f>K15*0.1*'CSG2'!L15</f>
        <v>0.82599482083999998</v>
      </c>
      <c r="N15" s="14">
        <v>0</v>
      </c>
      <c r="O15" s="14">
        <v>0</v>
      </c>
      <c r="P15" s="14">
        <v>0</v>
      </c>
      <c r="Q15" s="33">
        <f t="shared" si="1"/>
        <v>-2.6730740351404114E-2</v>
      </c>
      <c r="R15" s="16">
        <v>0</v>
      </c>
      <c r="S15" s="14">
        <v>11.250400000000001</v>
      </c>
    </row>
    <row r="16" spans="1:20">
      <c r="A16" s="35" t="s">
        <v>113</v>
      </c>
      <c r="B16" s="35">
        <v>3</v>
      </c>
      <c r="C16" s="64" t="s">
        <v>126</v>
      </c>
      <c r="D16" s="29" t="s">
        <v>127</v>
      </c>
      <c r="E16" s="35" t="s">
        <v>125</v>
      </c>
      <c r="F16" s="14">
        <v>2.9609999999999999</v>
      </c>
      <c r="G16" s="41">
        <v>0.10100000000000001</v>
      </c>
      <c r="H16" s="30" t="s">
        <v>62</v>
      </c>
      <c r="I16" s="41">
        <v>0.1313</v>
      </c>
      <c r="J16" s="38" t="s">
        <v>73</v>
      </c>
      <c r="K16" s="14">
        <f>(F16+G16*45.8+I16*2.02)</f>
        <v>7.8520260000000004</v>
      </c>
      <c r="L16" s="66">
        <f>S16-K16-M16-Q16</f>
        <v>1.8021448536714029</v>
      </c>
      <c r="M16" s="14">
        <f>K16*0.1*'CSG2'!L16</f>
        <v>0.76305988668000013</v>
      </c>
      <c r="N16" s="34">
        <v>0</v>
      </c>
      <c r="O16" s="34">
        <v>0</v>
      </c>
      <c r="P16" s="34">
        <v>0</v>
      </c>
      <c r="Q16" s="33">
        <f t="shared" si="1"/>
        <v>-2.6730740351404114E-2</v>
      </c>
      <c r="R16" s="59">
        <v>0</v>
      </c>
      <c r="S16" s="34">
        <v>10.390499999999999</v>
      </c>
    </row>
    <row r="17" spans="1:21">
      <c r="A17" s="35" t="s">
        <v>113</v>
      </c>
      <c r="B17" s="35">
        <v>4</v>
      </c>
      <c r="C17" s="65" t="s">
        <v>130</v>
      </c>
      <c r="D17" s="21" t="s">
        <v>108</v>
      </c>
      <c r="E17" s="82" t="s">
        <v>128</v>
      </c>
      <c r="F17" s="14">
        <v>2.9609999999999999</v>
      </c>
      <c r="G17" s="41">
        <v>0.10100000000000001</v>
      </c>
      <c r="H17" s="30" t="s">
        <v>49</v>
      </c>
      <c r="I17" s="41">
        <v>0.1313</v>
      </c>
      <c r="J17" s="53" t="s">
        <v>65</v>
      </c>
      <c r="K17" s="80">
        <f>F17+I17*52.29</f>
        <v>9.8266770000000001</v>
      </c>
      <c r="L17" s="14">
        <f>S17-K17-M17-O17-Q17</f>
        <v>2.6470862041224801</v>
      </c>
      <c r="M17" s="50">
        <f>K17*0.1*'CSG2'!L17</f>
        <v>0.93766151934000008</v>
      </c>
      <c r="N17" s="14">
        <v>0</v>
      </c>
      <c r="O17" s="14">
        <f>'CSG2'!N17/1.3886</f>
        <v>-7.4339845887944683E-3</v>
      </c>
      <c r="P17" s="14">
        <v>0</v>
      </c>
      <c r="Q17" s="14">
        <f>-0.1251/1.3886</f>
        <v>-9.0090738873685711E-2</v>
      </c>
      <c r="R17" s="16">
        <v>0</v>
      </c>
      <c r="S17" s="14">
        <v>13.3139</v>
      </c>
    </row>
    <row r="18" spans="1:21">
      <c r="A18" s="35" t="s">
        <v>113</v>
      </c>
      <c r="B18" s="35">
        <v>4</v>
      </c>
      <c r="C18" s="85" t="s">
        <v>130</v>
      </c>
      <c r="D18" s="86" t="s">
        <v>108</v>
      </c>
      <c r="E18" s="35" t="s">
        <v>129</v>
      </c>
      <c r="F18" s="14">
        <v>2.9609999999999999</v>
      </c>
      <c r="G18" s="41">
        <v>0.10100000000000001</v>
      </c>
      <c r="H18" s="30" t="s">
        <v>51</v>
      </c>
      <c r="I18" s="41">
        <v>0.1313</v>
      </c>
      <c r="J18" s="38" t="s">
        <v>49</v>
      </c>
      <c r="K18" s="59">
        <f>K12</f>
        <v>6.8525299999999998</v>
      </c>
      <c r="L18" s="14">
        <f>S18-K18-M18-O18-Q18</f>
        <v>1.8381263108624804</v>
      </c>
      <c r="M18" s="50">
        <f>K18*0.1*'CSG2'!L18</f>
        <v>0.65386841260000006</v>
      </c>
      <c r="N18" s="14">
        <v>0</v>
      </c>
      <c r="O18" s="14">
        <f>'CSG2'!N18/1.3886</f>
        <v>-7.4339845887944683E-3</v>
      </c>
      <c r="P18" s="14">
        <v>0</v>
      </c>
      <c r="Q18" s="14">
        <f t="shared" ref="Q18:Q22" si="2">-0.1251/1.3886</f>
        <v>-9.0090738873685711E-2</v>
      </c>
      <c r="R18" s="16">
        <v>0</v>
      </c>
      <c r="S18" s="14">
        <v>9.2469999999999999</v>
      </c>
    </row>
    <row r="19" spans="1:21">
      <c r="A19" s="35" t="s">
        <v>113</v>
      </c>
      <c r="B19" s="35">
        <v>4</v>
      </c>
      <c r="C19" s="64" t="s">
        <v>130</v>
      </c>
      <c r="D19" s="29" t="s">
        <v>108</v>
      </c>
      <c r="E19" s="35" t="s">
        <v>122</v>
      </c>
      <c r="F19" s="14">
        <v>2.9609999999999999</v>
      </c>
      <c r="G19" s="41">
        <v>0.10100000000000001</v>
      </c>
      <c r="H19" s="30" t="s">
        <v>53</v>
      </c>
      <c r="I19" s="41">
        <v>0.1313</v>
      </c>
      <c r="J19" s="38" t="s">
        <v>49</v>
      </c>
      <c r="K19" s="16">
        <f>F18+G18*38.94</f>
        <v>6.8939399999999997</v>
      </c>
      <c r="L19" s="14">
        <f>S19-K19-M19-O19-Q19</f>
        <v>1.8494649686624796</v>
      </c>
      <c r="M19" s="50">
        <f>K19*0.1*'CSG2'!L19</f>
        <v>0.6578197548000001</v>
      </c>
      <c r="N19" s="14">
        <v>0</v>
      </c>
      <c r="O19" s="14">
        <f>'CSG2'!N19/1.3886</f>
        <v>-7.4339845887944683E-3</v>
      </c>
      <c r="P19" s="14">
        <v>0</v>
      </c>
      <c r="Q19" s="14">
        <f t="shared" si="2"/>
        <v>-9.0090738873685711E-2</v>
      </c>
      <c r="R19" s="16">
        <v>0</v>
      </c>
      <c r="S19" s="14">
        <v>9.3036999999999992</v>
      </c>
    </row>
    <row r="20" spans="1:21">
      <c r="A20" s="35" t="s">
        <v>113</v>
      </c>
      <c r="B20" s="35">
        <v>4</v>
      </c>
      <c r="C20" s="64" t="s">
        <v>130</v>
      </c>
      <c r="D20" s="29" t="s">
        <v>108</v>
      </c>
      <c r="E20" s="35" t="s">
        <v>123</v>
      </c>
      <c r="F20" s="14">
        <v>2.9609999999999999</v>
      </c>
      <c r="G20" s="41">
        <v>0.10100000000000001</v>
      </c>
      <c r="H20" s="30" t="s">
        <v>57</v>
      </c>
      <c r="I20" s="41">
        <v>0.1313</v>
      </c>
      <c r="J20" s="38" t="s">
        <v>49</v>
      </c>
      <c r="K20" s="16">
        <f>(F20+G20*41.87)</f>
        <v>7.1898699999999991</v>
      </c>
      <c r="L20" s="14">
        <f>S20-K20-M20-O20-Q20</f>
        <v>1.9298973280624807</v>
      </c>
      <c r="M20" s="50">
        <f>K20*0.1*'CSG2'!L20</f>
        <v>0.68605739539999999</v>
      </c>
      <c r="N20" s="14">
        <v>0</v>
      </c>
      <c r="O20" s="14">
        <f>'CSG2'!N20/1.3886</f>
        <v>-7.4339845887944683E-3</v>
      </c>
      <c r="P20" s="14">
        <v>0</v>
      </c>
      <c r="Q20" s="14">
        <f t="shared" si="2"/>
        <v>-9.0090738873685711E-2</v>
      </c>
      <c r="R20" s="16">
        <v>0</v>
      </c>
      <c r="S20" s="14">
        <v>9.7082999999999995</v>
      </c>
    </row>
    <row r="21" spans="1:21">
      <c r="A21" s="35" t="s">
        <v>113</v>
      </c>
      <c r="B21" s="35">
        <v>4</v>
      </c>
      <c r="C21" s="64" t="s">
        <v>130</v>
      </c>
      <c r="D21" s="29" t="s">
        <v>108</v>
      </c>
      <c r="E21" s="35" t="s">
        <v>124</v>
      </c>
      <c r="F21" s="14">
        <v>2.9609999999999999</v>
      </c>
      <c r="G21" s="41">
        <v>0.10100000000000001</v>
      </c>
      <c r="H21" s="30" t="s">
        <v>59</v>
      </c>
      <c r="I21" s="41">
        <v>0.1313</v>
      </c>
      <c r="J21" s="38" t="s">
        <v>71</v>
      </c>
      <c r="K21" s="16">
        <f>(F21+G21*42.93+I21*9.16)</f>
        <v>8.4996379999999991</v>
      </c>
      <c r="L21" s="14">
        <f>S21-K21-M21-O21-Q21</f>
        <v>2.28645126550248</v>
      </c>
      <c r="M21" s="50">
        <f>K21*0.1*'CSG2'!L21</f>
        <v>0.81103545795999998</v>
      </c>
      <c r="N21" s="34">
        <v>0</v>
      </c>
      <c r="O21" s="14">
        <f>'CSG2'!N21/1.3886</f>
        <v>-7.4339845887944683E-3</v>
      </c>
      <c r="P21" s="34">
        <v>0</v>
      </c>
      <c r="Q21" s="14">
        <f t="shared" si="2"/>
        <v>-9.0090738873685711E-2</v>
      </c>
      <c r="R21" s="59">
        <v>0</v>
      </c>
      <c r="S21" s="14">
        <v>11.499599999999999</v>
      </c>
    </row>
    <row r="22" spans="1:21">
      <c r="A22" s="35" t="s">
        <v>113</v>
      </c>
      <c r="B22" s="35">
        <v>4</v>
      </c>
      <c r="C22" s="65" t="s">
        <v>130</v>
      </c>
      <c r="D22" s="60" t="s">
        <v>108</v>
      </c>
      <c r="E22" s="35" t="s">
        <v>125</v>
      </c>
      <c r="F22" s="14">
        <v>2.9609999999999999</v>
      </c>
      <c r="G22" s="41">
        <v>0.10100000000000001</v>
      </c>
      <c r="H22" s="30" t="s">
        <v>62</v>
      </c>
      <c r="I22" s="41">
        <v>0.1313</v>
      </c>
      <c r="J22" s="38" t="s">
        <v>73</v>
      </c>
      <c r="K22" s="16">
        <f>(F22+G22*45.8+2.02*I22)</f>
        <v>7.8520260000000004</v>
      </c>
      <c r="L22" s="14">
        <f>S22-K22-M22-O22-Q22</f>
        <v>2.1101584025424787</v>
      </c>
      <c r="M22" s="50">
        <f>K22*0.1*'CSG2'!L22</f>
        <v>0.74924032092000015</v>
      </c>
      <c r="N22" s="50">
        <v>0</v>
      </c>
      <c r="O22" s="14">
        <f>'CSG2'!N22/1.3886</f>
        <v>-7.4339845887944683E-3</v>
      </c>
      <c r="P22" s="14">
        <v>0</v>
      </c>
      <c r="Q22" s="14">
        <f t="shared" si="2"/>
        <v>-9.0090738873685711E-2</v>
      </c>
      <c r="R22" s="14">
        <v>0</v>
      </c>
      <c r="S22" s="50">
        <v>10.613899999999999</v>
      </c>
    </row>
    <row r="24" spans="1:21">
      <c r="A24" t="s">
        <v>136</v>
      </c>
    </row>
    <row r="26" spans="1:21">
      <c r="N26" s="190"/>
      <c r="O26" s="186"/>
      <c r="P26" s="190"/>
      <c r="Q26" s="186"/>
      <c r="R26" s="73"/>
      <c r="S26" s="73"/>
      <c r="T26" s="190"/>
      <c r="U26" s="190"/>
    </row>
  </sheetData>
  <autoFilter ref="A2:U22" xr:uid="{6320706C-97DD-4998-8BDA-7F7743997078}">
    <filterColumn colId="4">
      <filters>
        <filter val="Portão/São Sebastião do Caí"/>
        <filter val="São Sebastião do Caí"/>
      </filters>
    </filterColumn>
  </autoFilter>
  <mergeCells count="3">
    <mergeCell ref="P26:Q26"/>
    <mergeCell ref="T26:U26"/>
    <mergeCell ref="N26:O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226B9CA180A349938AE0B2A2C602E0" ma:contentTypeVersion="15" ma:contentTypeDescription="Crie um novo documento." ma:contentTypeScope="" ma:versionID="93cf8dfbb523ef36366d0d020c68bcb3">
  <xsd:schema xmlns:xsd="http://www.w3.org/2001/XMLSchema" xmlns:xs="http://www.w3.org/2001/XMLSchema" xmlns:p="http://schemas.microsoft.com/office/2006/metadata/properties" xmlns:ns2="84d5552f-21cd-42f1-831e-354cf99d2247" xmlns:ns3="406a3c1e-bbb2-45ce-9207-519703050080" targetNamespace="http://schemas.microsoft.com/office/2006/metadata/properties" ma:root="true" ma:fieldsID="3ab692d1b0fd6eb837f4bbb2e1962d2f" ns2:_="" ns3:_="">
    <xsd:import namespace="84d5552f-21cd-42f1-831e-354cf99d2247"/>
    <xsd:import namespace="406a3c1e-bbb2-45ce-9207-519703050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5552f-21cd-42f1-831e-354cf99d22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949dc0-332d-4f90-9758-939af5d309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a3c1e-bbb2-45ce-9207-5197030500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9ca2e91-57b2-4a98-8036-beea54d63559}" ma:internalName="TaxCatchAll" ma:showField="CatchAllData" ma:web="406a3c1e-bbb2-45ce-9207-519703050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d5552f-21cd-42f1-831e-354cf99d2247">
      <Terms xmlns="http://schemas.microsoft.com/office/infopath/2007/PartnerControls"/>
    </lcf76f155ced4ddcb4097134ff3c332f>
    <TaxCatchAll xmlns="406a3c1e-bbb2-45ce-9207-5197030500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B0263-9EEC-422C-B0B2-B225F4245CF1}"/>
</file>

<file path=customXml/itemProps2.xml><?xml version="1.0" encoding="utf-8"?>
<ds:datastoreItem xmlns:ds="http://schemas.openxmlformats.org/officeDocument/2006/customXml" ds:itemID="{9D2304DA-5C07-4734-AE76-D4751273C9F0}"/>
</file>

<file path=customXml/itemProps3.xml><?xml version="1.0" encoding="utf-8"?>
<ds:datastoreItem xmlns:ds="http://schemas.openxmlformats.org/officeDocument/2006/customXml" ds:itemID="{C6354AD3-B26A-460B-BADF-E71CEA0C2F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Sergio Alexandre Ramos Gonzalez</cp:lastModifiedBy>
  <cp:revision/>
  <dcterms:created xsi:type="dcterms:W3CDTF">2006-09-16T00:00:00Z</dcterms:created>
  <dcterms:modified xsi:type="dcterms:W3CDTF">2026-05-13T18:43:56Z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0x0101004F226B9CA180A349938AE0B2A2C602E0</vt:lpwstr>
  </property>
  <property fmtid="{D5CDD505-2E9C-101B-9397-08002B2CF9AE}" pid="3" name="MediaServiceImageTags">
    <vt:lpwstr/>
  </property>
</Properties>
</file>