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20610" yWindow="-120" windowWidth="20730" windowHeight="11040" tabRatio="836" firstSheet="7" activeTab="7"/>
  </bookViews>
  <sheets>
    <sheet name="Preço Gás Adquirido" sheetId="1" r:id="rId1"/>
    <sheet name="Volume Gás Adquirido" sheetId="12" r:id="rId2"/>
    <sheet name="Montantes Aquisição" sheetId="3" r:id="rId3"/>
    <sheet name="Encargos" sheetId="4" r:id="rId4"/>
    <sheet name="Custos de Aquisição" sheetId="5" r:id="rId5"/>
    <sheet name="Volumes distribuídos" sheetId="7" r:id="rId6"/>
    <sheet name="Custo Distribuição" sheetId="6" r:id="rId7"/>
    <sheet name="CONTA GRÁFICA" sheetId="9" r:id="rId8"/>
    <sheet name="Volume projetado" sheetId="10" r:id="rId9"/>
    <sheet name="Atualização PV" sheetId="8" r:id="rId10"/>
    <sheet name="Indicadores" sheetId="11" r:id="rId11"/>
    <sheet name="Indicador - Dados primários" sheetId="14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" i="10" l="1"/>
  <c r="AC15" i="7"/>
  <c r="AD15" i="7"/>
  <c r="Z9" i="7"/>
  <c r="AA9" i="7"/>
  <c r="AB9" i="7"/>
  <c r="AC9" i="7"/>
  <c r="AD9" i="7"/>
  <c r="AE9" i="7"/>
  <c r="AE15" i="7" s="1"/>
  <c r="AF9" i="7"/>
  <c r="AF15" i="7" s="1"/>
  <c r="AG9" i="7"/>
  <c r="AB5" i="7"/>
  <c r="AC5" i="7"/>
  <c r="AD5" i="7"/>
  <c r="AE5" i="7"/>
  <c r="AF5" i="7"/>
  <c r="AG5" i="7"/>
  <c r="AA5" i="7"/>
  <c r="AA2" i="7"/>
  <c r="AB2" i="7"/>
  <c r="AC2" i="7"/>
  <c r="AD2" i="7"/>
  <c r="AE2" i="7"/>
  <c r="AF2" i="7"/>
  <c r="AG2" i="7"/>
  <c r="AG15" i="7" s="1"/>
  <c r="AB15" i="7" l="1"/>
  <c r="AA15" i="7"/>
  <c r="H9" i="5" l="1"/>
  <c r="E36" i="8" l="1"/>
  <c r="F36" i="8"/>
  <c r="G36" i="8"/>
  <c r="H36" i="8"/>
  <c r="H7" i="9"/>
  <c r="I4" i="10"/>
  <c r="I6" i="10"/>
  <c r="I7" i="10"/>
  <c r="I8" i="10"/>
  <c r="I10" i="10"/>
  <c r="I11" i="10"/>
  <c r="I12" i="10"/>
  <c r="I13" i="10"/>
  <c r="I14" i="10"/>
  <c r="G91" i="8"/>
  <c r="G90" i="8"/>
  <c r="H90" i="8"/>
  <c r="H91" i="8"/>
  <c r="H83" i="8"/>
  <c r="H75" i="8"/>
  <c r="H79" i="8"/>
  <c r="H87" i="8"/>
  <c r="H33" i="8"/>
  <c r="H35" i="8"/>
  <c r="H40" i="8"/>
  <c r="H39" i="8" s="1"/>
  <c r="H4" i="8"/>
  <c r="H6" i="8"/>
  <c r="H7" i="8"/>
  <c r="H10" i="8"/>
  <c r="H5" i="6"/>
  <c r="H18" i="6"/>
  <c r="H17" i="9" s="1"/>
  <c r="G5" i="6"/>
  <c r="I9" i="10" l="1"/>
  <c r="I5" i="10"/>
  <c r="H94" i="8"/>
  <c r="H74" i="8" s="1"/>
  <c r="H92" i="8"/>
  <c r="H5" i="8"/>
  <c r="H15" i="8" s="1"/>
  <c r="I2" i="10"/>
  <c r="I15" i="10" s="1"/>
  <c r="AG17" i="7"/>
  <c r="AG20" i="7"/>
  <c r="AG24" i="7"/>
  <c r="H12" i="5"/>
  <c r="H9" i="4"/>
  <c r="H5" i="5" s="1"/>
  <c r="H14" i="4"/>
  <c r="H6" i="5" s="1"/>
  <c r="H32" i="8" l="1"/>
  <c r="H3" i="8"/>
  <c r="H82" i="8"/>
  <c r="AG30" i="7"/>
  <c r="AG32" i="7" s="1"/>
  <c r="I3" i="3"/>
  <c r="I5" i="3"/>
  <c r="I6" i="3"/>
  <c r="I8" i="3"/>
  <c r="I9" i="3"/>
  <c r="I12" i="3"/>
  <c r="I14" i="3"/>
  <c r="I15" i="3"/>
  <c r="I16" i="3" s="1"/>
  <c r="I18" i="3"/>
  <c r="I20" i="3"/>
  <c r="I21" i="3"/>
  <c r="I23" i="3"/>
  <c r="I25" i="3" s="1"/>
  <c r="I24" i="3"/>
  <c r="I26" i="3"/>
  <c r="I27" i="3"/>
  <c r="I28" i="3" s="1"/>
  <c r="I29" i="3"/>
  <c r="I30" i="3"/>
  <c r="I32" i="3"/>
  <c r="I33" i="3"/>
  <c r="I36" i="3"/>
  <c r="I39" i="3"/>
  <c r="I45" i="3"/>
  <c r="I47" i="3"/>
  <c r="I48" i="3"/>
  <c r="I50" i="3"/>
  <c r="I51" i="3"/>
  <c r="I54" i="3"/>
  <c r="I57" i="3"/>
  <c r="I59" i="3"/>
  <c r="I60" i="3"/>
  <c r="I62" i="3"/>
  <c r="I63" i="3"/>
  <c r="I65" i="3"/>
  <c r="I66" i="3"/>
  <c r="I68" i="3"/>
  <c r="I70" i="3" s="1"/>
  <c r="I69" i="3"/>
  <c r="I71" i="3"/>
  <c r="I73" i="3" s="1"/>
  <c r="I72" i="3"/>
  <c r="I77" i="3"/>
  <c r="I79" i="3" s="1"/>
  <c r="I78" i="3"/>
  <c r="I47" i="12"/>
  <c r="I46" i="12"/>
  <c r="I45" i="12"/>
  <c r="I48" i="12" s="1"/>
  <c r="H106" i="1"/>
  <c r="I22" i="3" l="1"/>
  <c r="I105" i="1"/>
  <c r="I104" i="1"/>
  <c r="I31" i="3"/>
  <c r="I64" i="3"/>
  <c r="I49" i="3"/>
  <c r="I34" i="3"/>
  <c r="I67" i="3"/>
  <c r="I61" i="3"/>
  <c r="I7" i="3"/>
  <c r="I80" i="3"/>
  <c r="H4" i="5"/>
  <c r="I52" i="3"/>
  <c r="I10" i="3"/>
  <c r="H34" i="8"/>
  <c r="H43" i="8" s="1"/>
  <c r="H96" i="8" s="1"/>
  <c r="H6" i="6"/>
  <c r="H7" i="6" s="1"/>
  <c r="H15" i="6"/>
  <c r="H3" i="6"/>
  <c r="H4" i="6" s="1"/>
  <c r="H13" i="6"/>
  <c r="D36" i="8"/>
  <c r="C36" i="8"/>
  <c r="D35" i="8"/>
  <c r="C35" i="8"/>
  <c r="D7" i="8"/>
  <c r="C7" i="8"/>
  <c r="D6" i="8"/>
  <c r="C6" i="8"/>
  <c r="H16" i="6" l="1"/>
  <c r="H3" i="9" s="1"/>
  <c r="C34" i="8"/>
  <c r="D34" i="8"/>
  <c r="H9" i="6"/>
  <c r="H2" i="9" s="1"/>
  <c r="O30" i="14"/>
  <c r="O36" i="14" l="1"/>
  <c r="Q30" i="14"/>
  <c r="Q29" i="14"/>
  <c r="O33" i="14" s="1"/>
  <c r="I10" i="1" l="1"/>
  <c r="I9" i="1"/>
  <c r="AG13" i="11"/>
  <c r="AH13" i="11" s="1"/>
  <c r="AI13" i="11" s="1"/>
  <c r="AJ13" i="11" s="1"/>
  <c r="AK13" i="11" s="1"/>
  <c r="AF13" i="11"/>
  <c r="AE12" i="11"/>
  <c r="AE13" i="11"/>
  <c r="G33" i="14"/>
  <c r="G30" i="14"/>
  <c r="F30" i="14"/>
  <c r="AD7" i="11" l="1"/>
  <c r="I4" i="1" s="1"/>
  <c r="AD2" i="11"/>
  <c r="I39" i="1" s="1"/>
  <c r="I8" i="1"/>
  <c r="I38" i="1"/>
  <c r="I40" i="1"/>
  <c r="I43" i="1"/>
  <c r="I42" i="1" s="1"/>
  <c r="I37" i="1" l="1"/>
  <c r="I46" i="1" s="1"/>
  <c r="I11" i="3" s="1"/>
  <c r="I13" i="3" s="1"/>
  <c r="I51" i="1"/>
  <c r="I52" i="1" s="1"/>
  <c r="I17" i="3" s="1"/>
  <c r="I19" i="3" s="1"/>
  <c r="I5" i="1"/>
  <c r="I3" i="1" s="1"/>
  <c r="I14" i="1" l="1"/>
  <c r="I44" i="3" s="1"/>
  <c r="I46" i="3" s="1"/>
  <c r="I13" i="1"/>
  <c r="I2" i="3" s="1"/>
  <c r="I4" i="3" s="1"/>
  <c r="I53" i="1"/>
  <c r="I53" i="3" s="1"/>
  <c r="I55" i="3" s="1"/>
  <c r="I54" i="1"/>
  <c r="I56" i="3" s="1"/>
  <c r="I58" i="3" s="1"/>
  <c r="G9" i="5"/>
  <c r="I74" i="3" l="1"/>
  <c r="H3" i="5" s="1"/>
  <c r="C33" i="8"/>
  <c r="H40" i="1" l="1"/>
  <c r="H3" i="10"/>
  <c r="H4" i="10"/>
  <c r="H6" i="10"/>
  <c r="H7" i="10"/>
  <c r="H8" i="10"/>
  <c r="H10" i="10"/>
  <c r="H11" i="10"/>
  <c r="H12" i="10"/>
  <c r="H13" i="10"/>
  <c r="H14" i="10"/>
  <c r="G33" i="8"/>
  <c r="F33" i="8"/>
  <c r="E33" i="8"/>
  <c r="D33" i="8"/>
  <c r="G18" i="6"/>
  <c r="H5" i="10" l="1"/>
  <c r="H9" i="10"/>
  <c r="H2" i="10"/>
  <c r="H15" i="10" s="1"/>
  <c r="G9" i="4" l="1"/>
  <c r="G5" i="5" s="1"/>
  <c r="G14" i="4"/>
  <c r="G6" i="5" s="1"/>
  <c r="G12" i="5"/>
  <c r="F9" i="5"/>
  <c r="H3" i="3"/>
  <c r="H5" i="3"/>
  <c r="H6" i="3"/>
  <c r="H8" i="3"/>
  <c r="H9" i="3"/>
  <c r="H12" i="3"/>
  <c r="H14" i="3"/>
  <c r="H15" i="3"/>
  <c r="H18" i="3"/>
  <c r="H20" i="3"/>
  <c r="H21" i="3"/>
  <c r="H23" i="3"/>
  <c r="H25" i="3" s="1"/>
  <c r="H24" i="3"/>
  <c r="H26" i="3"/>
  <c r="H27" i="3"/>
  <c r="H29" i="3"/>
  <c r="H30" i="3"/>
  <c r="H32" i="3"/>
  <c r="H33" i="3"/>
  <c r="H36" i="3"/>
  <c r="H39" i="3"/>
  <c r="H45" i="3"/>
  <c r="H47" i="3"/>
  <c r="H48" i="3"/>
  <c r="H50" i="3"/>
  <c r="H51" i="3"/>
  <c r="H54" i="3"/>
  <c r="H57" i="3"/>
  <c r="H59" i="3"/>
  <c r="H60" i="3"/>
  <c r="H62" i="3"/>
  <c r="H63" i="3"/>
  <c r="H65" i="3"/>
  <c r="H66" i="3"/>
  <c r="H68" i="3"/>
  <c r="H69" i="3"/>
  <c r="H71" i="3"/>
  <c r="H73" i="3" s="1"/>
  <c r="H72" i="3"/>
  <c r="H77" i="3"/>
  <c r="H79" i="3" s="1"/>
  <c r="H80" i="3" s="1"/>
  <c r="H78" i="3"/>
  <c r="H45" i="12"/>
  <c r="H48" i="12" s="1"/>
  <c r="H46" i="12"/>
  <c r="H47" i="12"/>
  <c r="H43" i="1"/>
  <c r="H42" i="1" s="1"/>
  <c r="H28" i="3" l="1"/>
  <c r="H67" i="3"/>
  <c r="H61" i="3"/>
  <c r="H16" i="3"/>
  <c r="H31" i="3"/>
  <c r="H22" i="3"/>
  <c r="H7" i="3"/>
  <c r="H52" i="3"/>
  <c r="H70" i="3"/>
  <c r="H34" i="3"/>
  <c r="H10" i="3"/>
  <c r="G4" i="5"/>
  <c r="H64" i="3"/>
  <c r="H49" i="3"/>
  <c r="H9" i="1"/>
  <c r="H10" i="1"/>
  <c r="AF17" i="7"/>
  <c r="AF20" i="7"/>
  <c r="AF24" i="7"/>
  <c r="H8" i="1" l="1"/>
  <c r="AF30" i="7"/>
  <c r="AF32" i="7" s="1"/>
  <c r="G6" i="6" l="1"/>
  <c r="G7" i="6" s="1"/>
  <c r="G15" i="6"/>
  <c r="G3" i="6"/>
  <c r="G4" i="6" s="1"/>
  <c r="G13" i="6"/>
  <c r="G7" i="9"/>
  <c r="G17" i="9"/>
  <c r="G9" i="6" l="1"/>
  <c r="G2" i="9" s="1"/>
  <c r="G16" i="6"/>
  <c r="G3" i="9" s="1"/>
  <c r="G92" i="8"/>
  <c r="G83" i="8"/>
  <c r="G75" i="8"/>
  <c r="G79" i="8"/>
  <c r="G4" i="8"/>
  <c r="G40" i="8"/>
  <c r="G39" i="8" s="1"/>
  <c r="G10" i="8"/>
  <c r="AG4" i="11"/>
  <c r="F29" i="14"/>
  <c r="G94" i="8" l="1"/>
  <c r="G74" i="8" s="1"/>
  <c r="G82" i="8" l="1"/>
  <c r="G32" i="8"/>
  <c r="G3" i="8"/>
  <c r="E12" i="4"/>
  <c r="E9" i="5"/>
  <c r="D9" i="5"/>
  <c r="AE17" i="7" l="1"/>
  <c r="E24" i="3" l="1"/>
  <c r="C7" i="9" l="1"/>
  <c r="D45" i="12"/>
  <c r="E45" i="12"/>
  <c r="F45" i="12"/>
  <c r="D46" i="12"/>
  <c r="E46" i="12"/>
  <c r="F46" i="12"/>
  <c r="D47" i="12"/>
  <c r="E47" i="12"/>
  <c r="F47" i="12"/>
  <c r="F48" i="12"/>
  <c r="D48" i="12" l="1"/>
  <c r="E48" i="12"/>
  <c r="F9" i="4" l="1"/>
  <c r="F14" i="4"/>
  <c r="G45" i="12" l="1"/>
  <c r="G46" i="12"/>
  <c r="G9" i="1"/>
  <c r="G10" i="1"/>
  <c r="G8" i="1" l="1"/>
  <c r="F26" i="14"/>
  <c r="F25" i="14"/>
  <c r="F28" i="14" l="1"/>
  <c r="F27" i="14"/>
  <c r="F91" i="8" l="1"/>
  <c r="F90" i="8"/>
  <c r="F83" i="8"/>
  <c r="F75" i="8"/>
  <c r="F4" i="8"/>
  <c r="F10" i="8"/>
  <c r="F40" i="8"/>
  <c r="F39" i="8" s="1"/>
  <c r="F79" i="8"/>
  <c r="G3" i="10"/>
  <c r="G4" i="10"/>
  <c r="G6" i="10"/>
  <c r="G7" i="10"/>
  <c r="G8" i="10"/>
  <c r="G10" i="10"/>
  <c r="G11" i="10"/>
  <c r="G12" i="10"/>
  <c r="G13" i="10"/>
  <c r="G14" i="10"/>
  <c r="F92" i="8" l="1"/>
  <c r="F94" i="8"/>
  <c r="F82" i="8" s="1"/>
  <c r="G2" i="10"/>
  <c r="G9" i="10"/>
  <c r="G5" i="10"/>
  <c r="G15" i="10" s="1"/>
  <c r="F32" i="8" l="1"/>
  <c r="F74" i="8"/>
  <c r="F3" i="8"/>
  <c r="F7" i="9"/>
  <c r="F5" i="6"/>
  <c r="F18" i="6"/>
  <c r="F17" i="9" s="1"/>
  <c r="AE20" i="7"/>
  <c r="AE30" i="7" s="1"/>
  <c r="AE24" i="7"/>
  <c r="F5" i="5"/>
  <c r="F6" i="5"/>
  <c r="G3" i="3"/>
  <c r="G5" i="3"/>
  <c r="G6" i="3"/>
  <c r="G8" i="3"/>
  <c r="G9" i="3"/>
  <c r="G12" i="3"/>
  <c r="G15" i="3"/>
  <c r="G18" i="3"/>
  <c r="G21" i="3"/>
  <c r="G24" i="3"/>
  <c r="G27" i="3"/>
  <c r="G30" i="3"/>
  <c r="G33" i="3"/>
  <c r="G36" i="3"/>
  <c r="G39" i="3"/>
  <c r="G45" i="3"/>
  <c r="G47" i="3"/>
  <c r="G48" i="3"/>
  <c r="G50" i="3"/>
  <c r="G51" i="3"/>
  <c r="G54" i="3"/>
  <c r="G57" i="3"/>
  <c r="G60" i="3"/>
  <c r="G63" i="3"/>
  <c r="G66" i="3"/>
  <c r="G69" i="3"/>
  <c r="G71" i="3"/>
  <c r="G72" i="3"/>
  <c r="G77" i="3"/>
  <c r="G78" i="3"/>
  <c r="G47" i="12"/>
  <c r="G48" i="12" s="1"/>
  <c r="G43" i="1"/>
  <c r="G42" i="1" s="1"/>
  <c r="G64" i="1"/>
  <c r="G63" i="1" s="1"/>
  <c r="G85" i="1"/>
  <c r="G84" i="1" s="1"/>
  <c r="F15" i="6" l="1"/>
  <c r="AE32" i="7"/>
  <c r="F6" i="6"/>
  <c r="F7" i="6" s="1"/>
  <c r="G73" i="3"/>
  <c r="G10" i="3"/>
  <c r="G79" i="3"/>
  <c r="G49" i="3"/>
  <c r="G7" i="3"/>
  <c r="G52" i="3"/>
  <c r="F12" i="5"/>
  <c r="F3" i="6" l="1"/>
  <c r="F4" i="6" s="1"/>
  <c r="F9" i="6" s="1"/>
  <c r="F2" i="9" s="1"/>
  <c r="F13" i="6"/>
  <c r="F16" i="6" s="1"/>
  <c r="F3" i="9" s="1"/>
  <c r="G80" i="3"/>
  <c r="F4" i="5"/>
  <c r="I107" i="1" l="1"/>
  <c r="I38" i="3" s="1"/>
  <c r="I40" i="3" s="1"/>
  <c r="H107" i="1" l="1"/>
  <c r="H38" i="3" s="1"/>
  <c r="H40" i="3" s="1"/>
  <c r="G107" i="1"/>
  <c r="G38" i="3" s="1"/>
  <c r="G40" i="3" s="1"/>
  <c r="F10" i="1" l="1"/>
  <c r="F9" i="1"/>
  <c r="E91" i="8" l="1"/>
  <c r="E90" i="8"/>
  <c r="E83" i="8"/>
  <c r="E79" i="8"/>
  <c r="E75" i="8"/>
  <c r="E40" i="8"/>
  <c r="E39" i="8" s="1"/>
  <c r="E4" i="8"/>
  <c r="E94" i="8" l="1"/>
  <c r="E92" i="8"/>
  <c r="F3" i="10"/>
  <c r="F4" i="10"/>
  <c r="F6" i="10"/>
  <c r="F7" i="10"/>
  <c r="F8" i="10"/>
  <c r="F10" i="10"/>
  <c r="F11" i="10"/>
  <c r="F12" i="10"/>
  <c r="F13" i="10"/>
  <c r="F14" i="10"/>
  <c r="E3" i="8" l="1"/>
  <c r="E82" i="8"/>
  <c r="F2" i="10"/>
  <c r="F9" i="10"/>
  <c r="F5" i="10"/>
  <c r="E74" i="8"/>
  <c r="E32" i="8"/>
  <c r="E9" i="4"/>
  <c r="E5" i="5" s="1"/>
  <c r="E14" i="4"/>
  <c r="E6" i="5" s="1"/>
  <c r="F3" i="3"/>
  <c r="F5" i="3"/>
  <c r="F6" i="3"/>
  <c r="F8" i="3"/>
  <c r="F9" i="3"/>
  <c r="F12" i="3"/>
  <c r="F15" i="3"/>
  <c r="F18" i="3"/>
  <c r="F21" i="3"/>
  <c r="F24" i="3"/>
  <c r="F27" i="3"/>
  <c r="F30" i="3"/>
  <c r="F33" i="3"/>
  <c r="F36" i="3"/>
  <c r="F39" i="3"/>
  <c r="F45" i="3"/>
  <c r="F47" i="3"/>
  <c r="F48" i="3"/>
  <c r="F50" i="3"/>
  <c r="F51" i="3"/>
  <c r="F54" i="3"/>
  <c r="F57" i="3"/>
  <c r="F60" i="3"/>
  <c r="F63" i="3"/>
  <c r="F66" i="3"/>
  <c r="F69" i="3"/>
  <c r="F71" i="3"/>
  <c r="F72" i="3"/>
  <c r="F77" i="3"/>
  <c r="F78" i="3"/>
  <c r="F15" i="10" l="1"/>
  <c r="F52" i="3"/>
  <c r="F7" i="3"/>
  <c r="F79" i="3"/>
  <c r="F49" i="3"/>
  <c r="F10" i="3"/>
  <c r="F73" i="3"/>
  <c r="D100" i="1" l="1"/>
  <c r="F80" i="3"/>
  <c r="E4" i="5"/>
  <c r="E2" i="6"/>
  <c r="E12" i="6"/>
  <c r="E12" i="5" l="1"/>
  <c r="E18" i="6"/>
  <c r="E5" i="6"/>
  <c r="AD24" i="7" l="1"/>
  <c r="AD20" i="7"/>
  <c r="AD17" i="7"/>
  <c r="E7" i="9"/>
  <c r="E17" i="9"/>
  <c r="AD30" i="7" l="1"/>
  <c r="AD32" i="7" s="1"/>
  <c r="E6" i="6"/>
  <c r="E7" i="6" s="1"/>
  <c r="E15" i="6"/>
  <c r="F85" i="1"/>
  <c r="F84" i="1" s="1"/>
  <c r="F64" i="1"/>
  <c r="F63" i="1" s="1"/>
  <c r="F43" i="1"/>
  <c r="F42" i="1" s="1"/>
  <c r="F8" i="1"/>
  <c r="F107" i="1" l="1"/>
  <c r="F38" i="3" s="1"/>
  <c r="F40" i="3" s="1"/>
  <c r="E3" i="6"/>
  <c r="E4" i="6" s="1"/>
  <c r="E9" i="6" s="1"/>
  <c r="E2" i="9" s="1"/>
  <c r="E13" i="6"/>
  <c r="E16" i="6" s="1"/>
  <c r="E3" i="9" s="1"/>
  <c r="AF12" i="11" l="1"/>
  <c r="AG12" i="11" s="1"/>
  <c r="AH12" i="11" s="1"/>
  <c r="AI12" i="11" s="1"/>
  <c r="AJ12" i="11" s="1"/>
  <c r="AK12" i="11" s="1"/>
  <c r="D3" i="10" l="1"/>
  <c r="E3" i="10"/>
  <c r="C9" i="5" l="1"/>
  <c r="D91" i="8" l="1"/>
  <c r="C91" i="8"/>
  <c r="D90" i="8"/>
  <c r="C90" i="8"/>
  <c r="D12" i="4" l="1"/>
  <c r="C75" i="8" l="1"/>
  <c r="D83" i="8" l="1"/>
  <c r="C83" i="8"/>
  <c r="C94" i="8" s="1"/>
  <c r="D75" i="8"/>
  <c r="D4" i="8"/>
  <c r="D92" i="8"/>
  <c r="D79" i="8"/>
  <c r="D40" i="8"/>
  <c r="D39" i="8" s="1"/>
  <c r="D94" i="8" l="1"/>
  <c r="E4" i="10"/>
  <c r="E2" i="10" s="1"/>
  <c r="E6" i="10"/>
  <c r="E7" i="10"/>
  <c r="E8" i="10"/>
  <c r="E10" i="10"/>
  <c r="E11" i="10"/>
  <c r="E12" i="10"/>
  <c r="E13" i="10"/>
  <c r="E14" i="10"/>
  <c r="E9" i="10" l="1"/>
  <c r="E5" i="10"/>
  <c r="D82" i="8"/>
  <c r="D32" i="8"/>
  <c r="D3" i="8"/>
  <c r="D74" i="8"/>
  <c r="E15" i="10"/>
  <c r="D7" i="9"/>
  <c r="AC17" i="7" l="1"/>
  <c r="AC20" i="7"/>
  <c r="AC24" i="7"/>
  <c r="D18" i="6"/>
  <c r="D17" i="9" s="1"/>
  <c r="D5" i="6"/>
  <c r="AC30" i="7" l="1"/>
  <c r="D6" i="6" l="1"/>
  <c r="D7" i="6" s="1"/>
  <c r="AC32" i="7"/>
  <c r="D15" i="6"/>
  <c r="D3" i="6"/>
  <c r="D4" i="6" s="1"/>
  <c r="D9" i="6" s="1"/>
  <c r="D2" i="9" s="1"/>
  <c r="D13" i="6"/>
  <c r="D16" i="6" l="1"/>
  <c r="D3" i="9" s="1"/>
  <c r="D9" i="4"/>
  <c r="D5" i="5" s="1"/>
  <c r="D14" i="4"/>
  <c r="D6" i="5" s="1"/>
  <c r="D68" i="3"/>
  <c r="D69" i="3"/>
  <c r="E69" i="3"/>
  <c r="D66" i="3"/>
  <c r="D65" i="3"/>
  <c r="D33" i="3"/>
  <c r="E33" i="3"/>
  <c r="D32" i="3"/>
  <c r="D30" i="3"/>
  <c r="E30" i="3"/>
  <c r="D29" i="3"/>
  <c r="D27" i="3"/>
  <c r="E27" i="3"/>
  <c r="D26" i="3"/>
  <c r="D18" i="3"/>
  <c r="E18" i="3"/>
  <c r="E3" i="3"/>
  <c r="E5" i="3"/>
  <c r="E6" i="3"/>
  <c r="E8" i="3"/>
  <c r="E9" i="3"/>
  <c r="E12" i="3"/>
  <c r="E15" i="3"/>
  <c r="E21" i="3"/>
  <c r="E36" i="3"/>
  <c r="E39" i="3"/>
  <c r="E45" i="3"/>
  <c r="E47" i="3"/>
  <c r="E48" i="3"/>
  <c r="E50" i="3"/>
  <c r="E51" i="3"/>
  <c r="E54" i="3"/>
  <c r="E57" i="3"/>
  <c r="E60" i="3"/>
  <c r="E63" i="3"/>
  <c r="E66" i="3"/>
  <c r="E71" i="3"/>
  <c r="E72" i="3"/>
  <c r="E77" i="3"/>
  <c r="E78" i="3"/>
  <c r="E79" i="3" s="1"/>
  <c r="E7" i="3" l="1"/>
  <c r="E73" i="3"/>
  <c r="E49" i="3"/>
  <c r="E52" i="3"/>
  <c r="E80" i="3"/>
  <c r="D4" i="5"/>
  <c r="E10" i="3"/>
  <c r="D70" i="3"/>
  <c r="D67" i="3"/>
  <c r="D34" i="3"/>
  <c r="D17" i="3"/>
  <c r="D12" i="5"/>
  <c r="D31" i="3" l="1"/>
  <c r="D28" i="3"/>
  <c r="D19" i="3"/>
  <c r="E10" i="1" l="1"/>
  <c r="E9" i="1"/>
  <c r="D99" i="1"/>
  <c r="I98" i="1" l="1"/>
  <c r="I97" i="1"/>
  <c r="I100" i="1"/>
  <c r="I35" i="3" s="1"/>
  <c r="I37" i="3" s="1"/>
  <c r="I41" i="3" s="1"/>
  <c r="H2" i="5" s="1"/>
  <c r="H10" i="5" s="1"/>
  <c r="H97" i="1"/>
  <c r="H100" i="1"/>
  <c r="H35" i="3" s="1"/>
  <c r="H37" i="3" s="1"/>
  <c r="H98" i="1"/>
  <c r="E100" i="1"/>
  <c r="F100" i="1"/>
  <c r="G100" i="1"/>
  <c r="E97" i="1"/>
  <c r="F98" i="1"/>
  <c r="E98" i="1"/>
  <c r="G98" i="1"/>
  <c r="G97" i="1"/>
  <c r="F97" i="1"/>
  <c r="E107" i="1"/>
  <c r="E38" i="3" s="1"/>
  <c r="E40" i="3" s="1"/>
  <c r="D107" i="1"/>
  <c r="H13" i="5" l="1"/>
  <c r="H16" i="9" s="1"/>
  <c r="H18" i="9" s="1"/>
  <c r="H4" i="9"/>
  <c r="H5" i="9" s="1"/>
  <c r="G35" i="3"/>
  <c r="G37" i="3" s="1"/>
  <c r="F35" i="3"/>
  <c r="F37" i="3" s="1"/>
  <c r="E43" i="1"/>
  <c r="O27" i="14" l="1"/>
  <c r="AA2" i="11" s="1"/>
  <c r="AA3" i="11"/>
  <c r="E7" i="8" l="1"/>
  <c r="F81" i="1"/>
  <c r="F5" i="1"/>
  <c r="F60" i="1"/>
  <c r="F39" i="1"/>
  <c r="O34" i="14"/>
  <c r="G36" i="14"/>
  <c r="O35" i="14" l="1"/>
  <c r="AI4" i="11" s="1"/>
  <c r="AH4" i="11"/>
  <c r="F7" i="8" s="1"/>
  <c r="O37" i="14"/>
  <c r="AK4" i="11" s="1"/>
  <c r="AJ4" i="11"/>
  <c r="G34" i="14"/>
  <c r="AG8" i="11"/>
  <c r="G37" i="14"/>
  <c r="AK8" i="11" s="1"/>
  <c r="AJ8" i="11"/>
  <c r="G27" i="14"/>
  <c r="AA7" i="11" s="1"/>
  <c r="G7" i="8" l="1"/>
  <c r="F80" i="1"/>
  <c r="F38" i="1"/>
  <c r="F4" i="1"/>
  <c r="F3" i="1" s="1"/>
  <c r="F59" i="1"/>
  <c r="E6" i="8"/>
  <c r="E5" i="8" s="1"/>
  <c r="E35" i="8"/>
  <c r="G35" i="14"/>
  <c r="AI8" i="11" s="1"/>
  <c r="AH8" i="11"/>
  <c r="E85" i="1"/>
  <c r="E84" i="1" s="1"/>
  <c r="E8" i="1"/>
  <c r="E42" i="1"/>
  <c r="E64" i="1"/>
  <c r="E63" i="1" s="1"/>
  <c r="E34" i="8" l="1"/>
  <c r="E43" i="8" s="1"/>
  <c r="G35" i="8"/>
  <c r="G6" i="8"/>
  <c r="G5" i="8" s="1"/>
  <c r="G15" i="8" s="1"/>
  <c r="F14" i="1"/>
  <c r="F44" i="3" s="1"/>
  <c r="F46" i="3" s="1"/>
  <c r="F13" i="1"/>
  <c r="F2" i="3" s="1"/>
  <c r="F4" i="3" s="1"/>
  <c r="F69" i="1"/>
  <c r="F70" i="1" s="1"/>
  <c r="F23" i="3" s="1"/>
  <c r="F25" i="3" s="1"/>
  <c r="F58" i="1"/>
  <c r="F72" i="1"/>
  <c r="F73" i="1" s="1"/>
  <c r="F26" i="3" s="1"/>
  <c r="F28" i="3" s="1"/>
  <c r="F51" i="1"/>
  <c r="F52" i="1" s="1"/>
  <c r="F17" i="3" s="1"/>
  <c r="F19" i="3" s="1"/>
  <c r="F37" i="1"/>
  <c r="F48" i="1"/>
  <c r="F49" i="1" s="1"/>
  <c r="F14" i="3" s="1"/>
  <c r="F16" i="3" s="1"/>
  <c r="F79" i="1"/>
  <c r="F90" i="1"/>
  <c r="F91" i="1" s="1"/>
  <c r="F32" i="3" s="1"/>
  <c r="F34" i="3" s="1"/>
  <c r="F35" i="8"/>
  <c r="F6" i="8"/>
  <c r="F5" i="8" s="1"/>
  <c r="F15" i="8" s="1"/>
  <c r="D10" i="1"/>
  <c r="D9" i="1"/>
  <c r="F34" i="8" l="1"/>
  <c r="F43" i="8" s="1"/>
  <c r="G34" i="8"/>
  <c r="G43" i="8" s="1"/>
  <c r="F54" i="1"/>
  <c r="F56" i="3" s="1"/>
  <c r="F58" i="3" s="1"/>
  <c r="F53" i="1"/>
  <c r="F53" i="3" s="1"/>
  <c r="F55" i="3" s="1"/>
  <c r="F46" i="1"/>
  <c r="F11" i="3" s="1"/>
  <c r="F13" i="3" s="1"/>
  <c r="F74" i="1"/>
  <c r="F59" i="3" s="1"/>
  <c r="F61" i="3" s="1"/>
  <c r="F75" i="1"/>
  <c r="F62" i="3" s="1"/>
  <c r="F64" i="3" s="1"/>
  <c r="F67" i="1"/>
  <c r="F20" i="3" s="1"/>
  <c r="F22" i="3" s="1"/>
  <c r="F92" i="1"/>
  <c r="F65" i="3" s="1"/>
  <c r="F67" i="3" s="1"/>
  <c r="F93" i="1"/>
  <c r="F68" i="3" s="1"/>
  <c r="F70" i="3" s="1"/>
  <c r="F88" i="1"/>
  <c r="F29" i="3" s="1"/>
  <c r="F31" i="3" s="1"/>
  <c r="C40" i="8"/>
  <c r="C39" i="8" s="1"/>
  <c r="F41" i="3" l="1"/>
  <c r="E2" i="5" s="1"/>
  <c r="F74" i="3"/>
  <c r="E3" i="5" s="1"/>
  <c r="C92" i="8"/>
  <c r="C32" i="8"/>
  <c r="C74" i="8"/>
  <c r="C82" i="8"/>
  <c r="C3" i="8"/>
  <c r="E10" i="5" l="1"/>
  <c r="E4" i="9" s="1"/>
  <c r="E5" i="9" s="1"/>
  <c r="E13" i="5"/>
  <c r="E16" i="9" s="1"/>
  <c r="E18" i="9" s="1"/>
  <c r="D4" i="10"/>
  <c r="D2" i="10" s="1"/>
  <c r="D6" i="10"/>
  <c r="D5" i="10" s="1"/>
  <c r="D7" i="10"/>
  <c r="D8" i="10"/>
  <c r="D10" i="10"/>
  <c r="D11" i="10"/>
  <c r="D12" i="10"/>
  <c r="D13" i="10"/>
  <c r="D14" i="10"/>
  <c r="D9" i="10" l="1"/>
  <c r="D15" i="10"/>
  <c r="C79" i="8"/>
  <c r="H12" i="9" l="1"/>
  <c r="H13" i="9"/>
  <c r="H11" i="9" s="1"/>
  <c r="F24" i="14"/>
  <c r="C5" i="6" l="1"/>
  <c r="C18" i="6"/>
  <c r="C17" i="9" s="1"/>
  <c r="C9" i="4"/>
  <c r="C5" i="5" s="1"/>
  <c r="C14" i="4"/>
  <c r="C6" i="5" s="1"/>
  <c r="D3" i="3"/>
  <c r="D6" i="3"/>
  <c r="D9" i="3"/>
  <c r="D12" i="3"/>
  <c r="D15" i="3"/>
  <c r="D21" i="3"/>
  <c r="D24" i="3"/>
  <c r="D36" i="3"/>
  <c r="D39" i="3"/>
  <c r="D45" i="3"/>
  <c r="D48" i="3"/>
  <c r="D51" i="3"/>
  <c r="D54" i="3"/>
  <c r="D57" i="3"/>
  <c r="D60" i="3"/>
  <c r="D63" i="3"/>
  <c r="D71" i="3"/>
  <c r="D72" i="3"/>
  <c r="D77" i="3"/>
  <c r="D78" i="3"/>
  <c r="D73" i="3" l="1"/>
  <c r="D79" i="3"/>
  <c r="C4" i="5" s="1"/>
  <c r="D80" i="3" l="1"/>
  <c r="C12" i="5" l="1"/>
  <c r="D64" i="1"/>
  <c r="D63" i="1" s="1"/>
  <c r="D43" i="1"/>
  <c r="D42" i="1" s="1"/>
  <c r="D25" i="1"/>
  <c r="D24" i="1" s="1"/>
  <c r="D8" i="1"/>
  <c r="AB17" i="7" l="1"/>
  <c r="AB30" i="7" s="1"/>
  <c r="AB32" i="7" s="1"/>
  <c r="AB20" i="7"/>
  <c r="AB24" i="7"/>
  <c r="C6" i="6" l="1"/>
  <c r="C7" i="6" s="1"/>
  <c r="C15" i="6"/>
  <c r="C13" i="6" l="1"/>
  <c r="C3" i="6"/>
  <c r="L20" i="7"/>
  <c r="M20" i="7"/>
  <c r="N20" i="7"/>
  <c r="O20" i="7"/>
  <c r="L24" i="7"/>
  <c r="M24" i="7"/>
  <c r="N24" i="7"/>
  <c r="O24" i="7"/>
  <c r="O17" i="7"/>
  <c r="N17" i="7"/>
  <c r="N30" i="7" s="1"/>
  <c r="M17" i="7"/>
  <c r="L17" i="7"/>
  <c r="O9" i="7"/>
  <c r="N9" i="7"/>
  <c r="M9" i="7"/>
  <c r="L9" i="7"/>
  <c r="O5" i="7"/>
  <c r="N5" i="7"/>
  <c r="M5" i="7"/>
  <c r="L5" i="7"/>
  <c r="O3" i="7"/>
  <c r="N3" i="7"/>
  <c r="M3" i="7"/>
  <c r="L3" i="7"/>
  <c r="O2" i="7"/>
  <c r="O15" i="7" s="1"/>
  <c r="N2" i="7"/>
  <c r="N15" i="7" s="1"/>
  <c r="C4" i="6" l="1"/>
  <c r="C9" i="6" s="1"/>
  <c r="C2" i="9" s="1"/>
  <c r="M2" i="7"/>
  <c r="M15" i="7" s="1"/>
  <c r="M30" i="7"/>
  <c r="L2" i="7"/>
  <c r="L15" i="7" s="1"/>
  <c r="L30" i="7"/>
  <c r="C16" i="6"/>
  <c r="C3" i="9" s="1"/>
  <c r="N32" i="7"/>
  <c r="O30" i="7"/>
  <c r="O32" i="7" s="1"/>
  <c r="L32" i="7"/>
  <c r="M32" i="7"/>
  <c r="K24" i="7" l="1"/>
  <c r="J24" i="7"/>
  <c r="I24" i="7"/>
  <c r="H24" i="7"/>
  <c r="G24" i="7"/>
  <c r="F24" i="7"/>
  <c r="E24" i="7"/>
  <c r="D24" i="7"/>
  <c r="K20" i="7"/>
  <c r="J20" i="7"/>
  <c r="I20" i="7"/>
  <c r="H20" i="7"/>
  <c r="G20" i="7"/>
  <c r="F20" i="7"/>
  <c r="E20" i="7"/>
  <c r="D20" i="7"/>
  <c r="D17" i="7"/>
  <c r="E17" i="7"/>
  <c r="E30" i="7" s="1"/>
  <c r="F17" i="7"/>
  <c r="G17" i="7"/>
  <c r="H17" i="7"/>
  <c r="I17" i="7"/>
  <c r="I30" i="7" s="1"/>
  <c r="J17" i="7"/>
  <c r="K17" i="7"/>
  <c r="D9" i="7"/>
  <c r="E9" i="7"/>
  <c r="F9" i="7"/>
  <c r="G9" i="7"/>
  <c r="H9" i="7"/>
  <c r="I9" i="7"/>
  <c r="J9" i="7"/>
  <c r="K9" i="7"/>
  <c r="D5" i="7"/>
  <c r="E5" i="7"/>
  <c r="F5" i="7"/>
  <c r="G5" i="7"/>
  <c r="H5" i="7"/>
  <c r="I5" i="7"/>
  <c r="J5" i="7"/>
  <c r="K5" i="7"/>
  <c r="D2" i="7"/>
  <c r="D15" i="7" s="1"/>
  <c r="E2" i="7"/>
  <c r="F2" i="7"/>
  <c r="F15" i="7" s="1"/>
  <c r="G2" i="7"/>
  <c r="G15" i="7" s="1"/>
  <c r="H2" i="7"/>
  <c r="H15" i="7" s="1"/>
  <c r="I2" i="7"/>
  <c r="I15" i="7" s="1"/>
  <c r="J2" i="7"/>
  <c r="J15" i="7" s="1"/>
  <c r="K2" i="7"/>
  <c r="K15" i="7" s="1"/>
  <c r="E15" i="7" l="1"/>
  <c r="G30" i="7"/>
  <c r="J30" i="7"/>
  <c r="J32" i="7" s="1"/>
  <c r="K30" i="7"/>
  <c r="K32" i="7"/>
  <c r="F30" i="7"/>
  <c r="F32" i="7" s="1"/>
  <c r="G32" i="7"/>
  <c r="I32" i="7"/>
  <c r="E32" i="7"/>
  <c r="H30" i="7"/>
  <c r="H32" i="7" s="1"/>
  <c r="D30" i="7"/>
  <c r="D32" i="7" s="1"/>
  <c r="P20" i="7" l="1"/>
  <c r="P24" i="7"/>
  <c r="G24" i="14" l="1"/>
  <c r="F23" i="14"/>
  <c r="O24" i="14"/>
  <c r="Z18" i="7" l="1"/>
  <c r="X7" i="11" l="1"/>
  <c r="Z3" i="11"/>
  <c r="Y3" i="11"/>
  <c r="X3" i="11"/>
  <c r="X2" i="11"/>
  <c r="F22" i="14"/>
  <c r="D21" i="1" l="1"/>
  <c r="Y17" i="7" l="1"/>
  <c r="F21" i="14" l="1"/>
  <c r="X9" i="7" l="1"/>
  <c r="W9" i="7"/>
  <c r="V9" i="7"/>
  <c r="U9" i="7"/>
  <c r="T9" i="7"/>
  <c r="S9" i="7"/>
  <c r="R9" i="7"/>
  <c r="Q9" i="7"/>
  <c r="P9" i="7"/>
  <c r="X5" i="7"/>
  <c r="W5" i="7"/>
  <c r="V5" i="7"/>
  <c r="U5" i="7"/>
  <c r="T5" i="7"/>
  <c r="S5" i="7"/>
  <c r="R5" i="7"/>
  <c r="Q5" i="7"/>
  <c r="P5" i="7"/>
  <c r="F20" i="14" l="1"/>
  <c r="F19" i="14"/>
  <c r="O21" i="14" l="1"/>
  <c r="G21" i="14" l="1"/>
  <c r="Y2" i="7" l="1"/>
  <c r="Z2" i="7"/>
  <c r="Y5" i="7"/>
  <c r="Z5" i="7"/>
  <c r="Y9" i="7"/>
  <c r="Z17" i="7"/>
  <c r="AA17" i="7"/>
  <c r="Y20" i="7"/>
  <c r="Z20" i="7"/>
  <c r="AA20" i="7"/>
  <c r="Y24" i="7"/>
  <c r="Z24" i="7"/>
  <c r="AA24" i="7"/>
  <c r="Z15" i="7" l="1"/>
  <c r="Y15" i="7"/>
  <c r="AA30" i="7"/>
  <c r="AA32" i="7" s="1"/>
  <c r="Y30" i="7"/>
  <c r="Z30" i="7"/>
  <c r="Y32" i="7" l="1"/>
  <c r="Z32" i="7"/>
  <c r="C8" i="9" l="1"/>
  <c r="V2" i="7" l="1"/>
  <c r="W2" i="7"/>
  <c r="X2" i="7"/>
  <c r="V17" i="7"/>
  <c r="W17" i="7"/>
  <c r="X17" i="7"/>
  <c r="V20" i="7"/>
  <c r="W20" i="7"/>
  <c r="X20" i="7"/>
  <c r="V24" i="7"/>
  <c r="W24" i="7"/>
  <c r="X24" i="7"/>
  <c r="G22" i="14"/>
  <c r="G23" i="14" s="1"/>
  <c r="V30" i="7" l="1"/>
  <c r="W30" i="7"/>
  <c r="X30" i="7"/>
  <c r="W15" i="7"/>
  <c r="X15" i="7"/>
  <c r="V15" i="7"/>
  <c r="X32" i="7" l="1"/>
  <c r="W32" i="7"/>
  <c r="V32" i="7"/>
  <c r="W3" i="11"/>
  <c r="V3" i="11"/>
  <c r="U3" i="11"/>
  <c r="W7" i="11"/>
  <c r="V7" i="11"/>
  <c r="U7" i="11"/>
  <c r="O22" i="14"/>
  <c r="O23" i="14" s="1"/>
  <c r="W2" i="11" s="1"/>
  <c r="P28" i="14"/>
  <c r="O31" i="14"/>
  <c r="O28" i="14"/>
  <c r="F18" i="14"/>
  <c r="O32" i="14" l="1"/>
  <c r="AF2" i="11" s="1"/>
  <c r="AE2" i="11"/>
  <c r="P29" i="14"/>
  <c r="AC3" i="11" s="1"/>
  <c r="AB3" i="11"/>
  <c r="O29" i="14"/>
  <c r="AC2" i="11" s="1"/>
  <c r="AB2" i="11"/>
  <c r="G31" i="14"/>
  <c r="AE7" i="11" s="1"/>
  <c r="G28" i="14"/>
  <c r="AB7" i="11" s="1"/>
  <c r="U2" i="11"/>
  <c r="V2" i="11"/>
  <c r="H39" i="1" l="1"/>
  <c r="H5" i="1"/>
  <c r="G80" i="1"/>
  <c r="G59" i="1"/>
  <c r="G4" i="1"/>
  <c r="G38" i="1"/>
  <c r="G81" i="1"/>
  <c r="G60" i="1"/>
  <c r="G5" i="1"/>
  <c r="G3" i="1" s="1"/>
  <c r="G39" i="1"/>
  <c r="G32" i="14"/>
  <c r="AF7" i="11" s="1"/>
  <c r="G29" i="14"/>
  <c r="AC7" i="11" s="1"/>
  <c r="H38" i="1" l="1"/>
  <c r="H51" i="1" s="1"/>
  <c r="H52" i="1" s="1"/>
  <c r="H17" i="3" s="1"/>
  <c r="H19" i="3" s="1"/>
  <c r="H4" i="1"/>
  <c r="H3" i="1" s="1"/>
  <c r="G58" i="1"/>
  <c r="G72" i="1"/>
  <c r="G73" i="1" s="1"/>
  <c r="G26" i="3" s="1"/>
  <c r="G28" i="3" s="1"/>
  <c r="G69" i="1"/>
  <c r="G70" i="1" s="1"/>
  <c r="G23" i="3" s="1"/>
  <c r="G25" i="3" s="1"/>
  <c r="G79" i="1"/>
  <c r="G90" i="1"/>
  <c r="G91" i="1" s="1"/>
  <c r="G32" i="3" s="1"/>
  <c r="G34" i="3" s="1"/>
  <c r="G37" i="1"/>
  <c r="G51" i="1"/>
  <c r="G52" i="1" s="1"/>
  <c r="G17" i="3" s="1"/>
  <c r="G19" i="3" s="1"/>
  <c r="G48" i="1"/>
  <c r="G49" i="1" s="1"/>
  <c r="G14" i="3" s="1"/>
  <c r="G16" i="3" s="1"/>
  <c r="G14" i="1"/>
  <c r="G44" i="3" s="1"/>
  <c r="G46" i="3" s="1"/>
  <c r="G13" i="1"/>
  <c r="G2" i="3" s="1"/>
  <c r="G4" i="3" s="1"/>
  <c r="C5" i="8"/>
  <c r="C43" i="8"/>
  <c r="H37" i="1" l="1"/>
  <c r="H13" i="1"/>
  <c r="H2" i="3" s="1"/>
  <c r="H4" i="3" s="1"/>
  <c r="H14" i="1"/>
  <c r="H44" i="3" s="1"/>
  <c r="H46" i="3" s="1"/>
  <c r="G53" i="1"/>
  <c r="G53" i="3" s="1"/>
  <c r="G55" i="3" s="1"/>
  <c r="G46" i="1"/>
  <c r="G11" i="3" s="1"/>
  <c r="G13" i="3" s="1"/>
  <c r="G54" i="1"/>
  <c r="G56" i="3" s="1"/>
  <c r="G58" i="3" s="1"/>
  <c r="G92" i="1"/>
  <c r="G65" i="3" s="1"/>
  <c r="G67" i="3" s="1"/>
  <c r="G93" i="1"/>
  <c r="G68" i="3" s="1"/>
  <c r="G70" i="3" s="1"/>
  <c r="G88" i="1"/>
  <c r="G29" i="3" s="1"/>
  <c r="G31" i="3" s="1"/>
  <c r="G75" i="1"/>
  <c r="G62" i="3" s="1"/>
  <c r="G64" i="3" s="1"/>
  <c r="G67" i="1"/>
  <c r="G20" i="3" s="1"/>
  <c r="G22" i="3" s="1"/>
  <c r="G74" i="1"/>
  <c r="G59" i="3" s="1"/>
  <c r="G61" i="3" s="1"/>
  <c r="D43" i="8"/>
  <c r="D5" i="8"/>
  <c r="H54" i="1" l="1"/>
  <c r="H56" i="3" s="1"/>
  <c r="H58" i="3" s="1"/>
  <c r="H46" i="1"/>
  <c r="H11" i="3" s="1"/>
  <c r="H13" i="3" s="1"/>
  <c r="H41" i="3" s="1"/>
  <c r="G2" i="5" s="1"/>
  <c r="H53" i="1"/>
  <c r="H53" i="3" s="1"/>
  <c r="H55" i="3" s="1"/>
  <c r="G41" i="3"/>
  <c r="F2" i="5" s="1"/>
  <c r="G74" i="3"/>
  <c r="F3" i="5" s="1"/>
  <c r="T17" i="7"/>
  <c r="U17" i="7"/>
  <c r="T20" i="7"/>
  <c r="U20" i="7"/>
  <c r="T24" i="7"/>
  <c r="U24" i="7"/>
  <c r="T2" i="7"/>
  <c r="U2" i="7"/>
  <c r="H74" i="3" l="1"/>
  <c r="G3" i="5" s="1"/>
  <c r="G10" i="5" s="1"/>
  <c r="F10" i="5"/>
  <c r="T30" i="7"/>
  <c r="T15" i="7"/>
  <c r="U30" i="7"/>
  <c r="U15" i="7"/>
  <c r="G13" i="5" l="1"/>
  <c r="G16" i="9" s="1"/>
  <c r="G18" i="9" s="1"/>
  <c r="G4" i="9"/>
  <c r="G5" i="9" s="1"/>
  <c r="T32" i="7"/>
  <c r="F4" i="9"/>
  <c r="F5" i="9" s="1"/>
  <c r="F13" i="5"/>
  <c r="F16" i="9" s="1"/>
  <c r="F18" i="9" s="1"/>
  <c r="U32" i="7"/>
  <c r="F17" i="14" l="1"/>
  <c r="Q17" i="7" l="1"/>
  <c r="R17" i="7"/>
  <c r="S17" i="7"/>
  <c r="Q20" i="7"/>
  <c r="R20" i="7"/>
  <c r="S20" i="7"/>
  <c r="Q24" i="7"/>
  <c r="R24" i="7"/>
  <c r="S24" i="7"/>
  <c r="Q2" i="7"/>
  <c r="R2" i="7"/>
  <c r="R15" i="7" s="1"/>
  <c r="S2" i="7"/>
  <c r="S30" i="7" l="1"/>
  <c r="S15" i="7"/>
  <c r="R30" i="7"/>
  <c r="Q30" i="7"/>
  <c r="Q15" i="7"/>
  <c r="Q32" i="7" l="1"/>
  <c r="R32" i="7"/>
  <c r="S32" i="7"/>
  <c r="G18" i="14" l="1"/>
  <c r="G15" i="14"/>
  <c r="G12" i="14"/>
  <c r="G9" i="14"/>
  <c r="G6" i="14"/>
  <c r="G3" i="14"/>
  <c r="O25" i="14" l="1"/>
  <c r="F16" i="14"/>
  <c r="F15" i="14"/>
  <c r="F14" i="14"/>
  <c r="F13" i="14"/>
  <c r="F12" i="14"/>
  <c r="F11" i="14"/>
  <c r="F10" i="14"/>
  <c r="F9" i="14"/>
  <c r="F8" i="14"/>
  <c r="F7" i="14"/>
  <c r="F6" i="14"/>
  <c r="F5" i="14"/>
  <c r="F4" i="14"/>
  <c r="F3" i="14"/>
  <c r="F2" i="14"/>
  <c r="I7" i="11"/>
  <c r="G19" i="14"/>
  <c r="G20" i="14" s="1"/>
  <c r="T7" i="11" s="1"/>
  <c r="G16" i="14"/>
  <c r="G17" i="14" s="1"/>
  <c r="Q7" i="11" s="1"/>
  <c r="G13" i="14"/>
  <c r="G14" i="14" s="1"/>
  <c r="N7" i="11" s="1"/>
  <c r="G10" i="14"/>
  <c r="G11" i="14" s="1"/>
  <c r="K7" i="11" s="1"/>
  <c r="G7" i="14"/>
  <c r="G8" i="14" s="1"/>
  <c r="H7" i="11" s="1"/>
  <c r="F7" i="11"/>
  <c r="G4" i="14"/>
  <c r="G5" i="14" s="1"/>
  <c r="E7" i="11" s="1"/>
  <c r="B7" i="11"/>
  <c r="C3" i="11"/>
  <c r="B3" i="11"/>
  <c r="T3" i="11"/>
  <c r="S3" i="11"/>
  <c r="R3" i="11"/>
  <c r="Q3" i="11"/>
  <c r="P3" i="11"/>
  <c r="O3" i="11"/>
  <c r="N3" i="11"/>
  <c r="M3" i="11"/>
  <c r="L3" i="11"/>
  <c r="K3" i="11"/>
  <c r="J3" i="11"/>
  <c r="I3" i="11"/>
  <c r="H3" i="11"/>
  <c r="G3" i="11"/>
  <c r="F3" i="11"/>
  <c r="E3" i="11"/>
  <c r="D3" i="11"/>
  <c r="O18" i="14"/>
  <c r="O19" i="14" s="1"/>
  <c r="O20" i="14" s="1"/>
  <c r="T2" i="11" s="1"/>
  <c r="O15" i="14"/>
  <c r="O16" i="14" s="1"/>
  <c r="O17" i="14" s="1"/>
  <c r="Q2" i="11" s="1"/>
  <c r="O12" i="14"/>
  <c r="L2" i="11" s="1"/>
  <c r="O9" i="14"/>
  <c r="O10" i="14" s="1"/>
  <c r="O11" i="14" s="1"/>
  <c r="K2" i="11" s="1"/>
  <c r="O6" i="14"/>
  <c r="O7" i="14" s="1"/>
  <c r="O8" i="14" s="1"/>
  <c r="H2" i="11" s="1"/>
  <c r="O3" i="14"/>
  <c r="O4" i="14" s="1"/>
  <c r="O5" i="14" s="1"/>
  <c r="E2" i="11" s="1"/>
  <c r="B2" i="11"/>
  <c r="O26" i="14" l="1"/>
  <c r="Z2" i="11" s="1"/>
  <c r="Y2" i="11"/>
  <c r="G25" i="14"/>
  <c r="Y7" i="11" s="1"/>
  <c r="I2" i="11"/>
  <c r="M7" i="11"/>
  <c r="J7" i="11"/>
  <c r="R7" i="11"/>
  <c r="D2" i="11"/>
  <c r="P2" i="11"/>
  <c r="F2" i="11"/>
  <c r="J2" i="11"/>
  <c r="R2" i="11"/>
  <c r="C7" i="11"/>
  <c r="G7" i="11"/>
  <c r="O7" i="11"/>
  <c r="S7" i="11"/>
  <c r="C2" i="11"/>
  <c r="G2" i="11"/>
  <c r="O2" i="11"/>
  <c r="S2" i="11"/>
  <c r="D7" i="11"/>
  <c r="L7" i="11"/>
  <c r="P7" i="11"/>
  <c r="O13" i="14"/>
  <c r="D38" i="3" l="1"/>
  <c r="D40" i="3" s="1"/>
  <c r="D20" i="1"/>
  <c r="D38" i="1"/>
  <c r="D4" i="1"/>
  <c r="D59" i="1"/>
  <c r="D60" i="1"/>
  <c r="D39" i="1"/>
  <c r="D37" i="1" s="1"/>
  <c r="D5" i="1"/>
  <c r="D3" i="1" s="1"/>
  <c r="E81" i="1"/>
  <c r="E5" i="1"/>
  <c r="E39" i="1"/>
  <c r="E60" i="1"/>
  <c r="G26" i="14"/>
  <c r="Z7" i="11" s="1"/>
  <c r="O14" i="14"/>
  <c r="N2" i="11" s="1"/>
  <c r="M2" i="11"/>
  <c r="D69" i="1" l="1"/>
  <c r="D70" i="1" s="1"/>
  <c r="D23" i="3" s="1"/>
  <c r="D25" i="3" s="1"/>
  <c r="D14" i="1"/>
  <c r="D44" i="3" s="1"/>
  <c r="D46" i="3" s="1"/>
  <c r="D13" i="1"/>
  <c r="D2" i="3" s="1"/>
  <c r="D4" i="3" s="1"/>
  <c r="E80" i="1"/>
  <c r="E90" i="1" s="1"/>
  <c r="E91" i="1" s="1"/>
  <c r="E32" i="3" s="1"/>
  <c r="E34" i="3" s="1"/>
  <c r="E4" i="1"/>
  <c r="E3" i="1" s="1"/>
  <c r="E38" i="1"/>
  <c r="E59" i="1"/>
  <c r="D46" i="1"/>
  <c r="D11" i="3" s="1"/>
  <c r="D13" i="3" s="1"/>
  <c r="D53" i="1"/>
  <c r="D53" i="3" s="1"/>
  <c r="D55" i="3" s="1"/>
  <c r="D54" i="1"/>
  <c r="D56" i="3" s="1"/>
  <c r="D58" i="3" s="1"/>
  <c r="D48" i="1"/>
  <c r="D49" i="1" s="1"/>
  <c r="D14" i="3" s="1"/>
  <c r="D16" i="3" s="1"/>
  <c r="E79" i="1"/>
  <c r="D58" i="1"/>
  <c r="D30" i="1"/>
  <c r="D31" i="1" s="1"/>
  <c r="D8" i="3" s="1"/>
  <c r="D10" i="3" s="1"/>
  <c r="D19" i="1"/>
  <c r="G87" i="8" l="1"/>
  <c r="G96" i="8" s="1"/>
  <c r="E48" i="1"/>
  <c r="E49" i="1" s="1"/>
  <c r="E14" i="3" s="1"/>
  <c r="E16" i="3" s="1"/>
  <c r="E51" i="1"/>
  <c r="E52" i="1" s="1"/>
  <c r="E17" i="3" s="1"/>
  <c r="E19" i="3" s="1"/>
  <c r="E69" i="1"/>
  <c r="E70" i="1" s="1"/>
  <c r="E23" i="3" s="1"/>
  <c r="E25" i="3" s="1"/>
  <c r="E72" i="1"/>
  <c r="E73" i="1" s="1"/>
  <c r="E26" i="3" s="1"/>
  <c r="E28" i="3" s="1"/>
  <c r="E92" i="1"/>
  <c r="E65" i="3" s="1"/>
  <c r="E67" i="3" s="1"/>
  <c r="E93" i="1"/>
  <c r="E68" i="3" s="1"/>
  <c r="E70" i="3" s="1"/>
  <c r="E13" i="1"/>
  <c r="E2" i="3" s="1"/>
  <c r="E4" i="3" s="1"/>
  <c r="E14" i="1"/>
  <c r="E44" i="3" s="1"/>
  <c r="E46" i="3" s="1"/>
  <c r="D75" i="1"/>
  <c r="D62" i="3" s="1"/>
  <c r="D64" i="3" s="1"/>
  <c r="D74" i="1"/>
  <c r="D59" i="3" s="1"/>
  <c r="D61" i="3" s="1"/>
  <c r="D67" i="1"/>
  <c r="D20" i="3" s="1"/>
  <c r="D22" i="3" s="1"/>
  <c r="E88" i="1"/>
  <c r="E29" i="3" s="1"/>
  <c r="E31" i="3" s="1"/>
  <c r="D28" i="1"/>
  <c r="D5" i="3" s="1"/>
  <c r="D7" i="3" s="1"/>
  <c r="D33" i="1"/>
  <c r="D50" i="3" s="1"/>
  <c r="D52" i="3" s="1"/>
  <c r="D32" i="1"/>
  <c r="D47" i="3" s="1"/>
  <c r="D49" i="3" s="1"/>
  <c r="E37" i="1"/>
  <c r="E58" i="1"/>
  <c r="E67" i="1" s="1"/>
  <c r="E20" i="3" s="1"/>
  <c r="E22" i="3" s="1"/>
  <c r="D87" i="8" l="1"/>
  <c r="F87" i="8"/>
  <c r="F96" i="8" s="1"/>
  <c r="D74" i="3"/>
  <c r="C3" i="5" s="1"/>
  <c r="E87" i="8"/>
  <c r="C87" i="8"/>
  <c r="E75" i="1"/>
  <c r="E62" i="3" s="1"/>
  <c r="E64" i="3" s="1"/>
  <c r="E74" i="1"/>
  <c r="E59" i="3" s="1"/>
  <c r="E61" i="3" s="1"/>
  <c r="E53" i="1"/>
  <c r="E53" i="3" s="1"/>
  <c r="E55" i="3" s="1"/>
  <c r="E54" i="1"/>
  <c r="E56" i="3" s="1"/>
  <c r="E58" i="3" s="1"/>
  <c r="E46" i="1"/>
  <c r="E11" i="3" s="1"/>
  <c r="E13" i="3" s="1"/>
  <c r="E74" i="3" l="1"/>
  <c r="D3" i="5" s="1"/>
  <c r="C10" i="8"/>
  <c r="C15" i="8" s="1"/>
  <c r="C96" i="8" s="1"/>
  <c r="D10" i="8" l="1"/>
  <c r="D15" i="8" s="1"/>
  <c r="D96" i="8" s="1"/>
  <c r="E10" i="8"/>
  <c r="E15" i="8" s="1"/>
  <c r="E96" i="8" s="1"/>
  <c r="P17" i="7"/>
  <c r="P2" i="7"/>
  <c r="P15" i="7" s="1"/>
  <c r="C98" i="8" l="1"/>
  <c r="P30" i="7"/>
  <c r="D35" i="3" l="1"/>
  <c r="D37" i="3" s="1"/>
  <c r="P32" i="7"/>
  <c r="D41" i="3" l="1"/>
  <c r="C2" i="5" s="1"/>
  <c r="C10" i="5" s="1"/>
  <c r="C13" i="5" l="1"/>
  <c r="C16" i="9" s="1"/>
  <c r="C18" i="9" s="1"/>
  <c r="C4" i="9"/>
  <c r="C5" i="9" s="1"/>
  <c r="C9" i="9" l="1"/>
  <c r="D6" i="9" l="1"/>
  <c r="D8" i="9" l="1"/>
  <c r="E35" i="3"/>
  <c r="E37" i="3" s="1"/>
  <c r="E41" i="3" s="1"/>
  <c r="D2" i="5" s="1"/>
  <c r="D10" i="5" s="1"/>
  <c r="D13" i="5" l="1"/>
  <c r="D16" i="9" s="1"/>
  <c r="D18" i="9" s="1"/>
  <c r="D4" i="9"/>
  <c r="D5" i="9" s="1"/>
  <c r="D9" i="9" s="1"/>
  <c r="E6" i="9" s="1"/>
  <c r="E8" i="9" s="1"/>
  <c r="E9" i="9" s="1"/>
  <c r="F6" i="9" l="1"/>
  <c r="F8" i="9" s="1"/>
  <c r="F9" i="9" s="1"/>
  <c r="G6" i="9" l="1"/>
  <c r="G8" i="9" s="1"/>
  <c r="G9" i="9" s="1"/>
  <c r="H6" i="9" s="1"/>
  <c r="H8" i="9" s="1"/>
  <c r="H9" i="9" s="1"/>
  <c r="H14" i="9" s="1"/>
</calcChain>
</file>

<file path=xl/comments1.xml><?xml version="1.0" encoding="utf-8"?>
<comments xmlns="http://schemas.openxmlformats.org/spreadsheetml/2006/main">
  <authors>
    <author>Cristiane Hirt Kafer</author>
  </authors>
  <commentList>
    <comment ref="B78" authorId="0">
      <text>
        <r>
          <rPr>
            <b/>
            <sz val="9"/>
            <color indexed="81"/>
            <rFont val="Segoe UI"/>
            <family val="2"/>
          </rPr>
          <t>reajusta em janeiro com IGP-M dezembro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B86" authorId="0">
      <text>
        <r>
          <rPr>
            <b/>
            <sz val="9"/>
            <color indexed="81"/>
            <rFont val="Segoe UI"/>
            <family val="2"/>
          </rPr>
          <t>reajusta em maio com IGP-M abril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Cristiane Hirt Kafer</author>
  </authors>
  <commentList>
    <comment ref="K1" authorId="0">
      <text>
        <r>
          <rPr>
            <b/>
            <sz val="9"/>
            <color indexed="81"/>
            <rFont val="Segoe UI"/>
            <family val="2"/>
          </rPr>
          <t xml:space="preserve">Para ter acesso às cotações diárias do Brent Platt's é necessário fazer assinatura (Sulgás não possui)
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P1" authorId="0">
      <text>
        <r>
          <rPr>
            <b/>
            <sz val="9"/>
            <color indexed="81"/>
            <rFont val="Segoe UI"/>
            <family val="2"/>
          </rPr>
          <t>Informação descontinuada porque desde jan/26 não há contratos indexados ao Brent Platt's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<sst xmlns="http://schemas.openxmlformats.org/spreadsheetml/2006/main" count="1124" uniqueCount="357">
  <si>
    <t>Sigla</t>
  </si>
  <si>
    <t>Variável</t>
  </si>
  <si>
    <t>Nome contrato</t>
  </si>
  <si>
    <t>GALP (12,6% Brent ICE)</t>
  </si>
  <si>
    <t>Gás regular</t>
  </si>
  <si>
    <t>PM</t>
  </si>
  <si>
    <t xml:space="preserve">Parcela da Molécula- R$/m³ </t>
  </si>
  <si>
    <t>TC</t>
  </si>
  <si>
    <t>Taxa de Câmbio Gás  - TC - R$/US$</t>
  </si>
  <si>
    <t>Brent ICE</t>
  </si>
  <si>
    <t>BRENT - US$/Barril</t>
  </si>
  <si>
    <t>%Brent</t>
  </si>
  <si>
    <t>% Brent</t>
  </si>
  <si>
    <t>FC</t>
  </si>
  <si>
    <t>Fator de Conversão - FC</t>
  </si>
  <si>
    <t>PT</t>
  </si>
  <si>
    <t xml:space="preserve">Parcela do Transporte - R$/m³ </t>
  </si>
  <si>
    <t>NTSe</t>
  </si>
  <si>
    <t>NTS Entrada TECAB - R$/MMBtu</t>
  </si>
  <si>
    <t>NTSs</t>
  </si>
  <si>
    <t>NTS Saída Replan - R$/MMBtu</t>
  </si>
  <si>
    <t>TBGe</t>
  </si>
  <si>
    <t>TBG Entrada Gascar - R$/MMBtu</t>
  </si>
  <si>
    <t>GUS</t>
  </si>
  <si>
    <r>
      <rPr>
        <sz val="11"/>
        <rFont val="Aptos Narrow"/>
        <family val="2"/>
        <scheme val="minor"/>
      </rPr>
      <t>Parcela do GUS - R$/m</t>
    </r>
    <r>
      <rPr>
        <vertAlign val="superscript"/>
        <sz val="11"/>
        <rFont val="Aptos Narrow"/>
        <family val="2"/>
        <scheme val="minor"/>
      </rPr>
      <t>3</t>
    </r>
  </si>
  <si>
    <t>PGRAi</t>
  </si>
  <si>
    <t>Preço do gás regular adquirido GALP</t>
  </si>
  <si>
    <t xml:space="preserve">Gás de ultrapassagem </t>
  </si>
  <si>
    <t>PGUAi</t>
  </si>
  <si>
    <t>Preço gás de ultrapassagem adquirido GALP</t>
  </si>
  <si>
    <t xml:space="preserve">Gás de oportunidade </t>
  </si>
  <si>
    <t>PGOAi</t>
  </si>
  <si>
    <t>Preço do gás de oportunidade adquirido GALP</t>
  </si>
  <si>
    <t xml:space="preserve"> </t>
  </si>
  <si>
    <t>NMG 22-25 (11,6% Brent Platt's)</t>
  </si>
  <si>
    <t xml:space="preserve">Parcela da Molécula - R$/m³ </t>
  </si>
  <si>
    <t>Taxa de Câmbio Gás  - TCt - R$/US$</t>
  </si>
  <si>
    <t>Brent Platts</t>
  </si>
  <si>
    <t>BRENTt - US$/Barril</t>
  </si>
  <si>
    <t>IGPMíndice</t>
  </si>
  <si>
    <t>IGPM - Índice</t>
  </si>
  <si>
    <t>IGPM0</t>
  </si>
  <si>
    <t>PT0</t>
  </si>
  <si>
    <t>Preço do gás regular adquirido NMG 22-25</t>
  </si>
  <si>
    <t>Gás regular de performance</t>
  </si>
  <si>
    <t>%Brent_perf</t>
  </si>
  <si>
    <t>% Brent de performance</t>
  </si>
  <si>
    <t>PM_perf</t>
  </si>
  <si>
    <t xml:space="preserve">Parcela da Molécula de performance - R$/m³ </t>
  </si>
  <si>
    <t>PGRAi_perf</t>
  </si>
  <si>
    <t>Preço do gás regular de performance adquirido NMG 22-25</t>
  </si>
  <si>
    <t>Gás de ultrapassagem</t>
  </si>
  <si>
    <t>PGUAi1</t>
  </si>
  <si>
    <t>Preço do gás de ultrapassagem adquirido NMG22-25 nível 1</t>
  </si>
  <si>
    <t>PGUAi2</t>
  </si>
  <si>
    <t>Preço do gás de ultrapassagem adquirido NMG22-25 nível 2</t>
  </si>
  <si>
    <t>NMG 24-34 (11,63% Brent ICE)</t>
  </si>
  <si>
    <t>Preço do gás regular adquirido NMG 24-34</t>
  </si>
  <si>
    <t>Preço do gás regular de performance adquirido NMG 24-34</t>
  </si>
  <si>
    <t>Gás regular de incentivo à demanda</t>
  </si>
  <si>
    <t>%Brent_inc</t>
  </si>
  <si>
    <t>% Brent de incentivo</t>
  </si>
  <si>
    <t>PM_inc</t>
  </si>
  <si>
    <t xml:space="preserve">Parcela da Molécula de incentivo - R$/m³ </t>
  </si>
  <si>
    <t>PGRAi_inc</t>
  </si>
  <si>
    <t>Preço do gás regular de incentivo adquirido NMG 24-34</t>
  </si>
  <si>
    <t>Preço do gás de ultrapassagem adquirido NMG24-34 nível 1</t>
  </si>
  <si>
    <t>Preço do gás de ultrapassagem adquirido NMG24-34 nível 2</t>
  </si>
  <si>
    <t>NMG 24-32 (12,9% Brent ICE)</t>
  </si>
  <si>
    <t>Preço do gás regular adquirido NMG 24-32</t>
  </si>
  <si>
    <t>Preço do gás regular de performance adquirido NMG 24-32</t>
  </si>
  <si>
    <t>Preço do gás regular de incentivo adquirido NMG 24-32</t>
  </si>
  <si>
    <t>Preço do gás de ultrapassagem adquirido NMG 24-32 nível 1</t>
  </si>
  <si>
    <t>Preço do gás de ultrapassagem adquirido NMG 24-32 nível 2</t>
  </si>
  <si>
    <t>NMG 26-34 (11,7% Brent ICE)</t>
  </si>
  <si>
    <t>Preço do gás regular adquirido NMG 26-34</t>
  </si>
  <si>
    <t>Preço do gás regular de incentivo adquirido NMG 26-34</t>
  </si>
  <si>
    <t>Preço do gás de ultrapassagem adquirido NMG 26-34 nível 1</t>
  </si>
  <si>
    <t>Preço do gás de ultrapassagem adquirido NMG 26-34 nível 2</t>
  </si>
  <si>
    <t>Biometano 2021</t>
  </si>
  <si>
    <t>PM bio</t>
  </si>
  <si>
    <t xml:space="preserve">Parcela da Molécula de Biometano - R$/m³ </t>
  </si>
  <si>
    <t>PAIR</t>
  </si>
  <si>
    <t>Parcela de Injeção em rede</t>
  </si>
  <si>
    <t>Rbio</t>
  </si>
  <si>
    <t>Reajuste Biometano (anual, IGPM)</t>
  </si>
  <si>
    <t>Preço do gás regular adquirido Biometano</t>
  </si>
  <si>
    <t>Preço do gás de ultrapassagem Biometano</t>
  </si>
  <si>
    <t>Biometano 2024</t>
  </si>
  <si>
    <t>VGRAi</t>
  </si>
  <si>
    <t>Volume de gás regular adquirido GALP</t>
  </si>
  <si>
    <t>VGUAi</t>
  </si>
  <si>
    <t>Volume de gás de ultrapassagem adquirido GALP</t>
  </si>
  <si>
    <t>Gás de oportunidade</t>
  </si>
  <si>
    <t>VGOAi</t>
  </si>
  <si>
    <t>Volume de gás de oportunidade adquirido GALP</t>
  </si>
  <si>
    <t>Volume de gás regular adquirido NMG 22-25</t>
  </si>
  <si>
    <t>VGRAi_perf</t>
  </si>
  <si>
    <t>Volume de gás de performance adquirido NMG 22-25</t>
  </si>
  <si>
    <t>VGUAi1</t>
  </si>
  <si>
    <t>Volume de gás de ultrapassagem adquirido NMG 22-25 nível 1</t>
  </si>
  <si>
    <t>VGUAi2</t>
  </si>
  <si>
    <t>Volume de gás de ultrapassagem adquirido NMG 22-25 nível 2</t>
  </si>
  <si>
    <t>NMG 24-34 (11,9% Brent ICE)</t>
  </si>
  <si>
    <t>Volume de gás regular adquirido NMG 24-34</t>
  </si>
  <si>
    <t>Volume de gás de performance adquirido NMG 24-34</t>
  </si>
  <si>
    <t>Gás regular de incentivo</t>
  </si>
  <si>
    <t>VGRAi_inc</t>
  </si>
  <si>
    <t>Volume de gás de incentivo adquirido NMG 24-34</t>
  </si>
  <si>
    <t>Volume de gás de ultrapassagem adquiridoNMG 24-34 nível 1</t>
  </si>
  <si>
    <t>Volume de gás de ultrapassagem adquirido NMG 24-34 nível 2</t>
  </si>
  <si>
    <t>Volume de gás regular adquirido NMG 24-32</t>
  </si>
  <si>
    <t>Volume de gás de performance adquirido NMG 24-32</t>
  </si>
  <si>
    <t>Volume de gás de incentivo adquirido NMG 24-32</t>
  </si>
  <si>
    <t>Volume de gás de ultrapassagem adquirido NMG 24-32 nível 1</t>
  </si>
  <si>
    <t>Volume de gás de ultrapassagem adquirido NMG 24-32 nível 2</t>
  </si>
  <si>
    <t>Volume de gás regular adquirido NMG 26-34</t>
  </si>
  <si>
    <t>Volume de gás de incentivo adquirido NMG 26-34</t>
  </si>
  <si>
    <t>Volume de gás de ultrapassagem adquirido NMG 26-34 nível 1</t>
  </si>
  <si>
    <t>Volume de gás de ultrapassagem adquirido NMG 26-34 nível 2</t>
  </si>
  <si>
    <t>Volume de gás regular adquirido Biometano 2021</t>
  </si>
  <si>
    <t>Volume de gás de ultrapassagem adquirido Biometano 2021</t>
  </si>
  <si>
    <t>Volume de gás regular adquirido Biometano 2024</t>
  </si>
  <si>
    <t>Volume de gás de ultrapassagem adquirido Biometano 2024</t>
  </si>
  <si>
    <t>VGRAt</t>
  </si>
  <si>
    <t>Volume de gás regular total adquirido</t>
  </si>
  <si>
    <t>VGRUt</t>
  </si>
  <si>
    <t>Volume de gás de ultrapassagem total adquirido</t>
  </si>
  <si>
    <t>VGOAt</t>
  </si>
  <si>
    <t>Volume de gás de oportunidade total adquirido</t>
  </si>
  <si>
    <t>Gás total</t>
  </si>
  <si>
    <t>VTA</t>
  </si>
  <si>
    <t>Volume de gás total adquirido</t>
  </si>
  <si>
    <t>Gás Regular</t>
  </si>
  <si>
    <t>GRAi</t>
  </si>
  <si>
    <t>Montante do gás regular adquirido GALP</t>
  </si>
  <si>
    <t>Montante do gás regular adquirido NMG 22-25</t>
  </si>
  <si>
    <t>Gás Regular de Performance</t>
  </si>
  <si>
    <t>Volume de gás regular de performance adquirido NMG 22-25</t>
  </si>
  <si>
    <t>GRAi_perf</t>
  </si>
  <si>
    <t>Montante do gás regular de performance adquirido NMG 22-25</t>
  </si>
  <si>
    <t>Montante do gás regular adquirido NMG 24-34</t>
  </si>
  <si>
    <t>Volume de gás regular de performance adquirido NMG 24-34</t>
  </si>
  <si>
    <t>Montante do gás regular de performance adquirido NMG 24-34</t>
  </si>
  <si>
    <t>Gás Regular de Incentivo</t>
  </si>
  <si>
    <t>Volume de gás regular de incentivo adquirido NMG 24-34</t>
  </si>
  <si>
    <t>GRAi_inc</t>
  </si>
  <si>
    <t>Montante do gás regular de incentivo adquirido NMG 24-34</t>
  </si>
  <si>
    <t>Preço do gás regular adquirido NMG24-32</t>
  </si>
  <si>
    <t>Montante do gás regular adquirido NMG 24-32</t>
  </si>
  <si>
    <t>Volume de gás regular de performance adquirido NMG 24-32</t>
  </si>
  <si>
    <t>Montante do gás regular de performance adquirido NMG 24-32</t>
  </si>
  <si>
    <t>Volume de gás regular de incentivo adquirido NMG 24-32</t>
  </si>
  <si>
    <t>Montante do gás regular de incentivo adquirido NMG 24-32</t>
  </si>
  <si>
    <t>Montante do gás regular adquirido NMG 26-34</t>
  </si>
  <si>
    <t>Volume de gás regular de incentivo adquirido NMG 26-34</t>
  </si>
  <si>
    <t>Montante do gás regular de incentivo adquirido NMG 26-34</t>
  </si>
  <si>
    <t>Preço do gás regular adquirido Biometano 2021</t>
  </si>
  <si>
    <t>Montante do gás regular adquirido Biometano 2021</t>
  </si>
  <si>
    <t>Preço do gás regular adquirido Biometano 2024</t>
  </si>
  <si>
    <t>Montante do gás regular adquirido Biometano 2024</t>
  </si>
  <si>
    <t>GRAt</t>
  </si>
  <si>
    <t>Montante do gás regular total adqurido</t>
  </si>
  <si>
    <t>Gás de Ultrapassagem</t>
  </si>
  <si>
    <t xml:space="preserve"> Preço gás de ultrapassagem adquirido GALP</t>
  </si>
  <si>
    <t>GRUi</t>
  </si>
  <si>
    <t>Montante do gás de ultrapassagem adqurido GALP</t>
  </si>
  <si>
    <t>Preço do gás de ultrapassagem adquirido NMG 22-25 nível 1</t>
  </si>
  <si>
    <t>Montante do gás de ultrapassagem adqurido NMG 22-25 nível 1</t>
  </si>
  <si>
    <t>Preço do gás de ultrapassagem adquirido NMG 22-25nível 2</t>
  </si>
  <si>
    <t>Montante do gás de ultrapassagem adqurido NMG 22-25 nível 2</t>
  </si>
  <si>
    <t>Preço do gás de ultrapassagem adquirido NMG 24-34 nível 1</t>
  </si>
  <si>
    <t>Volume de gás de ultrapassagem adquirido NMG 24-34 nível 1</t>
  </si>
  <si>
    <t>Montante do gás de ultrapassagem adqurido NMG 24-34 nível 1</t>
  </si>
  <si>
    <t>Preço do gás de ultrapassagem adquirido NMG 24-34nível 2</t>
  </si>
  <si>
    <t>Montante do gás de ultrapassagem adqurido NMG 24-34 nível 2</t>
  </si>
  <si>
    <t>Montante do gás de ultrapassagem adqurido NMG 24-32 nível 1</t>
  </si>
  <si>
    <t>Montante do gás de ultrapassagem adqurido NMG 24-32 nível 2</t>
  </si>
  <si>
    <t>Montante do gás de ultrapassagem adqurido NMG 26-34 nível 1</t>
  </si>
  <si>
    <t>Montante do gás de ultrapassagem adqurido NMG 26-34 nível 2</t>
  </si>
  <si>
    <t xml:space="preserve"> Preço do gás de ultrapassagem Biometano</t>
  </si>
  <si>
    <t>Volume de gás de ultrapassagem adquirido Biometano</t>
  </si>
  <si>
    <t>Montante do gás de ultrapassagem adqurido Biometano</t>
  </si>
  <si>
    <t>GRUt</t>
  </si>
  <si>
    <t>Montante do gás de ultrapassagem total adqurido</t>
  </si>
  <si>
    <t>Gás de Oportunidade</t>
  </si>
  <si>
    <t>Preço do gás de oportunidade adquirido</t>
  </si>
  <si>
    <t>Volume de gás de oportunidade adquirido</t>
  </si>
  <si>
    <t>GOAi</t>
  </si>
  <si>
    <t>Montante do gás de oportunidade adqurido</t>
  </si>
  <si>
    <t>GOAt</t>
  </si>
  <si>
    <t>Montante do gás de oportunidade total adqurido</t>
  </si>
  <si>
    <t>Encargo de Capacidade</t>
  </si>
  <si>
    <t>ECi</t>
  </si>
  <si>
    <t>Encargo de capacidade GALP</t>
  </si>
  <si>
    <t>Encargo de capacidade NMG 22-25</t>
  </si>
  <si>
    <t>Encargo de capacidade NMG 24-34</t>
  </si>
  <si>
    <t>Encargo de capacidade NMG 24-32</t>
  </si>
  <si>
    <t>Encargo de capacidade NMG 26-34</t>
  </si>
  <si>
    <t>Encargo de capacidade Biometano</t>
  </si>
  <si>
    <t>Encargo de capacidade TBG</t>
  </si>
  <si>
    <t>ECt</t>
  </si>
  <si>
    <t>Encargo de Capacidade total</t>
  </si>
  <si>
    <t>Encargo de Transporte</t>
  </si>
  <si>
    <t>ETi</t>
  </si>
  <si>
    <t>Encargo de Transporte TBG</t>
  </si>
  <si>
    <t>Encargo de Transporte TSB</t>
  </si>
  <si>
    <t>ETt</t>
  </si>
  <si>
    <t>Encargo Transporte total</t>
  </si>
  <si>
    <t>Composição dos custos de aquisição</t>
  </si>
  <si>
    <t>Montante do gás regular adqurido</t>
  </si>
  <si>
    <t>Montante do gás de ultrapassagem adqurido</t>
  </si>
  <si>
    <t>Montante do gás de oportunidade adquirido</t>
  </si>
  <si>
    <t>Estoque</t>
  </si>
  <si>
    <t>Rede</t>
  </si>
  <si>
    <t>Rede Local</t>
  </si>
  <si>
    <t>Outros aq</t>
  </si>
  <si>
    <t>Outros custos de aquisição</t>
  </si>
  <si>
    <t>CTA</t>
  </si>
  <si>
    <t>Custo total do gás e do transporte adquirido</t>
  </si>
  <si>
    <t>CUnA</t>
  </si>
  <si>
    <t>Custo Unitário do gás e do transporte adquirido</t>
  </si>
  <si>
    <t>VGRDc</t>
  </si>
  <si>
    <t>Volume Classe Industrial</t>
  </si>
  <si>
    <t>VGRDseg</t>
  </si>
  <si>
    <t>Volume Classe Industrial Segmento Firme</t>
  </si>
  <si>
    <t>Volume Classe Industrial Segmento GNC</t>
  </si>
  <si>
    <t>Volume Classe Veicular</t>
  </si>
  <si>
    <t>Volume Classe Veicular Segmento Postos</t>
  </si>
  <si>
    <t>Volume Classe Veicular Frotas</t>
  </si>
  <si>
    <t>Volume Classe Veicular GNC</t>
  </si>
  <si>
    <t>Volume Classe Residencial</t>
  </si>
  <si>
    <t>Volume Classe Residencial Segmento Coletivo</t>
  </si>
  <si>
    <t>Volume Classe Residencial Segmento Unifamiliar</t>
  </si>
  <si>
    <t>Volume Classe Residencial Segmento Individual</t>
  </si>
  <si>
    <t>Volume Classe Comercial</t>
  </si>
  <si>
    <t>Volume Classe Cogeração/Geração/Climatização</t>
  </si>
  <si>
    <t>VGRTD</t>
  </si>
  <si>
    <t>Volume de gás regular total distribuído</t>
  </si>
  <si>
    <t>VGUDc</t>
  </si>
  <si>
    <t>VGUDseg</t>
  </si>
  <si>
    <t>VGUTD</t>
  </si>
  <si>
    <t>Volume de gás de ultrapassagem total distribuído</t>
  </si>
  <si>
    <t>Gás Total</t>
  </si>
  <si>
    <t>VDt</t>
  </si>
  <si>
    <t>Volume de gás total distribuído</t>
  </si>
  <si>
    <t>Custos de distribuição</t>
  </si>
  <si>
    <t>PVred</t>
  </si>
  <si>
    <t>Preço de venda do gás estipulado na RED vigente</t>
  </si>
  <si>
    <t>CGRD</t>
  </si>
  <si>
    <t>Custo do gás regular distribuído</t>
  </si>
  <si>
    <t>PGUD</t>
  </si>
  <si>
    <t>Preço do gás de ultrapassagem distribuído</t>
  </si>
  <si>
    <t>CGUD</t>
  </si>
  <si>
    <t>Custo do gás de ultrapassagem distribuído</t>
  </si>
  <si>
    <t>Outros d</t>
  </si>
  <si>
    <t>Outros custos de distribuição</t>
  </si>
  <si>
    <t>CTD</t>
  </si>
  <si>
    <t>Custo total do gás distribuído</t>
  </si>
  <si>
    <t>PRred</t>
  </si>
  <si>
    <t>Parcela de recuperação estipulada na RED vigente</t>
  </si>
  <si>
    <t>TU</t>
  </si>
  <si>
    <t>Taxa de ultrapassagem</t>
  </si>
  <si>
    <t>MPRred</t>
  </si>
  <si>
    <t>Montante parcela de recuperação RED</t>
  </si>
  <si>
    <t>PVT</t>
  </si>
  <si>
    <t>Preço de venda tarifário do gás</t>
  </si>
  <si>
    <t>SM</t>
  </si>
  <si>
    <t>Saldo Mensal</t>
  </si>
  <si>
    <t>SAcum m-1</t>
  </si>
  <si>
    <t>Saldo Acumulado no mês anterior</t>
  </si>
  <si>
    <t>SELIC</t>
  </si>
  <si>
    <t>Taxa mensal da SELIC</t>
  </si>
  <si>
    <t>SAtualiz</t>
  </si>
  <si>
    <t>Saldo Atualizado</t>
  </si>
  <si>
    <t>SAcum m</t>
  </si>
  <si>
    <t>Saldo acumulado mês corrente</t>
  </si>
  <si>
    <t>VPT</t>
  </si>
  <si>
    <t>Volume de gás total projetado para o período subsequente</t>
  </si>
  <si>
    <t>VPTtrim</t>
  </si>
  <si>
    <t>Volume de gás total projetado para o trimestre subsequente</t>
  </si>
  <si>
    <t>VPTsem</t>
  </si>
  <si>
    <t>Volume de gás total projetado para o semestre subsequente</t>
  </si>
  <si>
    <t>PR</t>
  </si>
  <si>
    <t>Parcela de recuperação</t>
  </si>
  <si>
    <t>IRG</t>
  </si>
  <si>
    <t>Índice de repasse do preço do gás e do transporte</t>
  </si>
  <si>
    <t>VPc</t>
  </si>
  <si>
    <t>VPseg</t>
  </si>
  <si>
    <t>VPTm</t>
  </si>
  <si>
    <t>Volume de gás regular total projetado</t>
  </si>
  <si>
    <t>VGM-ML</t>
  </si>
  <si>
    <t>Volume Migrado para o Mercado Livre</t>
  </si>
  <si>
    <t>AQUISIÇÃO POR CONTRATO DE SUPRIMENTO</t>
  </si>
  <si>
    <t>Nome do Contrato</t>
  </si>
  <si>
    <t>% VCi</t>
  </si>
  <si>
    <t xml:space="preserve">Percentual Volume de Gás </t>
  </si>
  <si>
    <t>VCi</t>
  </si>
  <si>
    <t>Volume Mensal Contratado</t>
  </si>
  <si>
    <t>PM_proj</t>
  </si>
  <si>
    <t xml:space="preserve">Parcela da Molécula-PROJETADA R$/m³ </t>
  </si>
  <si>
    <t>TC_proj</t>
  </si>
  <si>
    <t>Taxa de Câmbio Gás  -PROJETADA- R$/US$</t>
  </si>
  <si>
    <t>Brent_proj</t>
  </si>
  <si>
    <t>BRENT PROJETADO - US$/Barril</t>
  </si>
  <si>
    <t>PT_proj</t>
  </si>
  <si>
    <t xml:space="preserve">Parcela do Transporte PROJETADA- R$/m³ </t>
  </si>
  <si>
    <t>NTSe_proj</t>
  </si>
  <si>
    <t>NTS Entrada TECAB  PROJETADA R$/MMBtu</t>
  </si>
  <si>
    <t>NTSs_proj</t>
  </si>
  <si>
    <t>NTS Saída Replan PROJETADA - R$/MMBtu</t>
  </si>
  <si>
    <t>TBGe_proj</t>
  </si>
  <si>
    <t>TBG Entrada Gascar PROJETADA - R$/MMBtu</t>
  </si>
  <si>
    <t>GUS_proj</t>
  </si>
  <si>
    <t xml:space="preserve">Parcela do GUS PROJETADA - R$/m³ </t>
  </si>
  <si>
    <t>PGCi</t>
  </si>
  <si>
    <t>Preço do gás CONTRATADO GALP</t>
  </si>
  <si>
    <t>IGPM_proj</t>
  </si>
  <si>
    <t>IGPM projetado</t>
  </si>
  <si>
    <t>Preço do gás contratado NMG 22-25</t>
  </si>
  <si>
    <t>Preço do gás contratado NMG 24-34</t>
  </si>
  <si>
    <t>Preço do gás contratado NMG24-32</t>
  </si>
  <si>
    <t>Preço do gás contratado NMG 26-34</t>
  </si>
  <si>
    <t>Percentual Volume de Gás</t>
  </si>
  <si>
    <t>Rbio_proj</t>
  </si>
  <si>
    <t>Reajuste Biometano (anual, IGPM) Projetado</t>
  </si>
  <si>
    <t>Preço do gás contratado Biometano</t>
  </si>
  <si>
    <t>ETi_proj</t>
  </si>
  <si>
    <t>Encargo de Transporte Rede Local</t>
  </si>
  <si>
    <t>ETt_proj</t>
  </si>
  <si>
    <t>VCt</t>
  </si>
  <si>
    <t>Volume de gás total contratado</t>
  </si>
  <si>
    <t>PVm</t>
  </si>
  <si>
    <t>Preço de Venda do Gás (Mensal)</t>
  </si>
  <si>
    <t>PV</t>
  </si>
  <si>
    <t>Preço de Venda do Gás</t>
  </si>
  <si>
    <t>Brent</t>
  </si>
  <si>
    <t>Brent _ICE</t>
  </si>
  <si>
    <t>Brent_Platts</t>
  </si>
  <si>
    <t>Taxa de Câmbio</t>
  </si>
  <si>
    <t>IGPM</t>
  </si>
  <si>
    <t>IGPM índice</t>
  </si>
  <si>
    <t>Data Câmbio Realizado</t>
  </si>
  <si>
    <t>Câmbio Venda Realizado</t>
  </si>
  <si>
    <t xml:space="preserve">Data Câmbio </t>
  </si>
  <si>
    <t>Informação</t>
  </si>
  <si>
    <t>Média Mensal Câmbio</t>
  </si>
  <si>
    <t>Média Trimestral Câmbio</t>
  </si>
  <si>
    <t>Data Brent Realizado</t>
  </si>
  <si>
    <t>Brent ICE Realizado</t>
  </si>
  <si>
    <t>Brent Platts Realizado</t>
  </si>
  <si>
    <t xml:space="preserve">Data Brent Média </t>
  </si>
  <si>
    <t>Média Mensal/ Trimestral Brent ICE</t>
  </si>
  <si>
    <t>Média Mensal/ Trimestral Brent Platts</t>
  </si>
  <si>
    <t>Média Mensal Brent EIA (Real ICE)</t>
  </si>
  <si>
    <t>Realizada</t>
  </si>
  <si>
    <t>Projetada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</si>
</sst>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00"/>
    <numFmt numFmtId="165" formatCode="_-* #,##0_-;\-* #,##0_-;_-* &quot;-&quot;??_-;_-@_-"/>
    <numFmt numFmtId="166" formatCode="0.0"/>
    <numFmt numFmtId="167" formatCode="#,##0.000"/>
    <numFmt numFmtId="168" formatCode="_-* #,##0.0000_-;\-* #,##0.0000_-;_-* &quot;-&quot;??_-;_-@_-"/>
    <numFmt numFmtId="169" formatCode="0.000%"/>
    <numFmt numFmtId="170" formatCode="_(&quot;R$ &quot;* #,##0.00_);_(&quot;R$ &quot;* \(#,##0.00\);_(&quot;R$ &quot;* &quot;-&quot;??_);_(@_)"/>
    <numFmt numFmtId="171" formatCode="_([$€]* #,##0.00_);_([$€]* \(#,##0.00\);_([$€]* &quot;-&quot;??_);_(@_)"/>
    <numFmt numFmtId="172" formatCode="0.0000%"/>
    <numFmt numFmtId="173" formatCode="0.0000000"/>
    <numFmt numFmtId="174" formatCode="_-* #,##0.0_-;\-* #,##0.0_-;_-* &quot;-&quot;??_-;_-@_-"/>
    <numFmt numFmtId="175" formatCode="_-* #,##0.000000_-;\-* #,##0.000000_-;_-* &quot;-&quot;??_-;_-@_-"/>
    <numFmt numFmtId="176" formatCode="0.00000"/>
    <numFmt numFmtId="177" formatCode="0.0%"/>
  </numFmts>
  <fonts count="4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0"/>
      <color rgb="FF000000"/>
      <name val="Calibri"/>
      <family val="2"/>
    </font>
    <font>
      <sz val="10"/>
      <name val="Arial"/>
      <family val="2"/>
    </font>
    <font>
      <sz val="11"/>
      <color rgb="FF242424"/>
      <name val="Aptos Narrow"/>
      <family val="2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name val="MS Sans Serif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9"/>
      <color theme="1" tint="0.499984740745262"/>
      <name val="Aptos Display"/>
      <family val="2"/>
      <scheme val="major"/>
    </font>
    <font>
      <sz val="28"/>
      <color theme="0" tint="-0.24994659260841701"/>
      <name val="Aptos Display"/>
      <family val="2"/>
      <scheme val="major"/>
    </font>
    <font>
      <sz val="11"/>
      <color theme="1"/>
      <name val="Aptos Narrow"/>
      <family val="1"/>
      <scheme val="minor"/>
    </font>
    <font>
      <sz val="11"/>
      <color rgb="FFFF0000"/>
      <name val="Aptos Narrow"/>
      <family val="2"/>
      <scheme val="minor"/>
    </font>
    <font>
      <vertAlign val="superscript"/>
      <sz val="11"/>
      <name val="Aptos Narrow"/>
      <family val="2"/>
      <scheme val="minor"/>
    </font>
    <font>
      <sz val="8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1"/>
      <color theme="0" tint="-0.249977111117893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theme="0" tint="-0.14996795556505021"/>
      </bottom>
      <diagonal/>
    </border>
  </borders>
  <cellStyleXfs count="143">
    <xf numFmtId="0" fontId="0" fillId="0" borderId="0"/>
    <xf numFmtId="9" fontId="14" fillId="0" borderId="0" applyFont="0" applyFill="0" applyBorder="0" applyAlignment="0" applyProtection="0"/>
    <xf numFmtId="0" fontId="22" fillId="0" borderId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3" borderId="0" applyNumberFormat="0" applyBorder="0" applyAlignment="0" applyProtection="0"/>
    <xf numFmtId="0" fontId="23" fillId="16" borderId="0" applyNumberFormat="0" applyBorder="0" applyAlignment="0" applyProtection="0"/>
    <xf numFmtId="0" fontId="23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5" fillId="24" borderId="5" applyNumberFormat="0" applyAlignment="0" applyProtection="0"/>
    <xf numFmtId="43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8" borderId="0" applyNumberFormat="0" applyBorder="0" applyAlignment="0" applyProtection="0"/>
    <xf numFmtId="171" fontId="7" fillId="0" borderId="0" applyFont="0" applyFill="0" applyBorder="0" applyAlignment="0" applyProtection="0"/>
    <xf numFmtId="0" fontId="26" fillId="11" borderId="0" applyNumberFormat="0" applyBorder="0" applyAlignment="0" applyProtection="0"/>
    <xf numFmtId="0" fontId="27" fillId="2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28" fillId="24" borderId="6" applyNumberFormat="0" applyAlignment="0" applyProtection="0"/>
    <xf numFmtId="38" fontId="29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34" fillId="0" borderId="9" applyNumberFormat="0" applyFill="0" applyAlignment="0" applyProtection="0"/>
    <xf numFmtId="0" fontId="34" fillId="0" borderId="0" applyNumberFormat="0" applyFill="0" applyBorder="0" applyAlignment="0" applyProtection="0"/>
    <xf numFmtId="43" fontId="7" fillId="0" borderId="0" applyFont="0" applyFill="0" applyBorder="0" applyAlignment="0" applyProtection="0"/>
    <xf numFmtId="0" fontId="18" fillId="4" borderId="0" applyNumberFormat="0" applyBorder="0" applyAlignment="0" applyProtection="0"/>
    <xf numFmtId="0" fontId="19" fillId="5" borderId="1" applyNumberFormat="0" applyAlignment="0" applyProtection="0"/>
    <xf numFmtId="0" fontId="20" fillId="0" borderId="2" applyNumberFormat="0" applyFill="0" applyAlignment="0" applyProtection="0"/>
    <xf numFmtId="0" fontId="21" fillId="6" borderId="3" applyNumberFormat="0" applyAlignment="0" applyProtection="0"/>
    <xf numFmtId="0" fontId="9" fillId="0" borderId="0" applyNumberFormat="0" applyFill="0" applyBorder="0" applyAlignment="0" applyProtection="0"/>
    <xf numFmtId="0" fontId="7" fillId="7" borderId="4" applyNumberFormat="0" applyFont="0" applyAlignment="0" applyProtection="0"/>
    <xf numFmtId="0" fontId="35" fillId="0" borderId="0">
      <alignment vertical="center"/>
    </xf>
    <xf numFmtId="0" fontId="36" fillId="0" borderId="10" applyNumberFormat="0" applyProtection="0">
      <alignment vertical="center"/>
    </xf>
    <xf numFmtId="0" fontId="37" fillId="0" borderId="0">
      <alignment wrapText="1"/>
    </xf>
    <xf numFmtId="0" fontId="14" fillId="9" borderId="0" applyNumberFormat="0" applyBorder="0" applyAlignment="0" applyProtection="0"/>
    <xf numFmtId="0" fontId="14" fillId="8" borderId="0" applyNumberFormat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43" fontId="7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0" fontId="7" fillId="0" borderId="0" applyFont="0" applyFill="0" applyBorder="0" applyAlignment="0" applyProtection="0"/>
    <xf numFmtId="44" fontId="14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7" fillId="0" borderId="0" applyFont="0" applyFill="0" applyBorder="0" applyAlignment="0" applyProtection="0"/>
    <xf numFmtId="0" fontId="18" fillId="4" borderId="0" applyNumberFormat="0" applyBorder="0" applyAlignment="0" applyProtection="0"/>
    <xf numFmtId="0" fontId="19" fillId="5" borderId="1" applyNumberFormat="0" applyAlignment="0" applyProtection="0"/>
    <xf numFmtId="0" fontId="20" fillId="0" borderId="2" applyNumberFormat="0" applyFill="0" applyAlignment="0" applyProtection="0"/>
    <xf numFmtId="0" fontId="21" fillId="6" borderId="3" applyNumberFormat="0" applyAlignment="0" applyProtection="0"/>
    <xf numFmtId="0" fontId="9" fillId="0" borderId="0" applyNumberFormat="0" applyFill="0" applyBorder="0" applyAlignment="0" applyProtection="0"/>
    <xf numFmtId="0" fontId="7" fillId="7" borderId="4" applyNumberFormat="0" applyFont="0" applyAlignment="0" applyProtection="0"/>
    <xf numFmtId="44" fontId="14" fillId="0" borderId="0" applyFont="0" applyFill="0" applyBorder="0" applyAlignment="0" applyProtection="0"/>
    <xf numFmtId="0" fontId="14" fillId="9" borderId="0" applyNumberFormat="0" applyBorder="0" applyAlignment="0" applyProtection="0"/>
    <xf numFmtId="0" fontId="14" fillId="8" borderId="0" applyNumberFormat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43" fontId="7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" fillId="0" borderId="0"/>
    <xf numFmtId="0" fontId="14" fillId="0" borderId="0"/>
    <xf numFmtId="43" fontId="7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8" fillId="4" borderId="0" applyNumberFormat="0" applyBorder="0" applyAlignment="0" applyProtection="0"/>
    <xf numFmtId="0" fontId="19" fillId="5" borderId="1" applyNumberFormat="0" applyAlignment="0" applyProtection="0"/>
    <xf numFmtId="0" fontId="20" fillId="0" borderId="2" applyNumberFormat="0" applyFill="0" applyAlignment="0" applyProtection="0"/>
    <xf numFmtId="0" fontId="21" fillId="6" borderId="3" applyNumberFormat="0" applyAlignment="0" applyProtection="0"/>
    <xf numFmtId="0" fontId="9" fillId="0" borderId="0" applyNumberFormat="0" applyFill="0" applyBorder="0" applyAlignment="0" applyProtection="0"/>
    <xf numFmtId="0" fontId="7" fillId="7" borderId="4" applyNumberFormat="0" applyFont="0" applyAlignment="0" applyProtection="0"/>
    <xf numFmtId="0" fontId="18" fillId="4" borderId="0" applyNumberFormat="0" applyBorder="0" applyAlignment="0" applyProtection="0"/>
    <xf numFmtId="0" fontId="19" fillId="5" borderId="1" applyNumberFormat="0" applyAlignment="0" applyProtection="0"/>
    <xf numFmtId="0" fontId="20" fillId="0" borderId="2" applyNumberFormat="0" applyFill="0" applyAlignment="0" applyProtection="0"/>
    <xf numFmtId="0" fontId="21" fillId="6" borderId="3" applyNumberFormat="0" applyAlignment="0" applyProtection="0"/>
    <xf numFmtId="0" fontId="9" fillId="0" borderId="0" applyNumberFormat="0" applyFill="0" applyBorder="0" applyAlignment="0" applyProtection="0"/>
    <xf numFmtId="0" fontId="7" fillId="7" borderId="4" applyNumberFormat="0" applyFont="0" applyAlignment="0" applyProtection="0"/>
    <xf numFmtId="44" fontId="12" fillId="0" borderId="0" applyFont="0" applyFill="0" applyBorder="0" applyAlignment="0" applyProtection="0"/>
  </cellStyleXfs>
  <cellXfs count="101">
    <xf numFmtId="0" fontId="0" fillId="0" borderId="0" xfId="0"/>
    <xf numFmtId="17" fontId="0" fillId="0" borderId="0" xfId="0" applyNumberFormat="1"/>
    <xf numFmtId="9" fontId="0" fillId="0" borderId="0" xfId="0" applyNumberFormat="1"/>
    <xf numFmtId="3" fontId="0" fillId="0" borderId="0" xfId="0" applyNumberFormat="1"/>
    <xf numFmtId="10" fontId="0" fillId="0" borderId="0" xfId="0" applyNumberFormat="1"/>
    <xf numFmtId="4" fontId="0" fillId="0" borderId="0" xfId="0" applyNumberFormat="1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0" fillId="2" borderId="0" xfId="0" applyFill="1"/>
    <xf numFmtId="43" fontId="0" fillId="0" borderId="0" xfId="0" applyNumberFormat="1"/>
    <xf numFmtId="165" fontId="0" fillId="0" borderId="0" xfId="0" applyNumberFormat="1"/>
    <xf numFmtId="0" fontId="4" fillId="0" borderId="0" xfId="0" applyFont="1"/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6" fillId="0" borderId="0" xfId="0" applyFont="1"/>
    <xf numFmtId="4" fontId="2" fillId="0" borderId="0" xfId="0" applyNumberFormat="1" applyFont="1"/>
    <xf numFmtId="10" fontId="3" fillId="0" borderId="0" xfId="0" applyNumberFormat="1" applyFont="1"/>
    <xf numFmtId="43" fontId="1" fillId="0" borderId="0" xfId="0" applyNumberFormat="1" applyFont="1"/>
    <xf numFmtId="14" fontId="0" fillId="0" borderId="0" xfId="0" applyNumberFormat="1"/>
    <xf numFmtId="164" fontId="0" fillId="0" borderId="0" xfId="0" applyNumberFormat="1"/>
    <xf numFmtId="0" fontId="7" fillId="0" borderId="0" xfId="0" applyFont="1"/>
    <xf numFmtId="166" fontId="0" fillId="0" borderId="0" xfId="0" applyNumberFormat="1"/>
    <xf numFmtId="0" fontId="8" fillId="0" borderId="0" xfId="0" applyFont="1"/>
    <xf numFmtId="9" fontId="0" fillId="0" borderId="0" xfId="0" applyNumberFormat="1" applyAlignment="1">
      <alignment wrapText="1"/>
    </xf>
    <xf numFmtId="167" fontId="0" fillId="0" borderId="0" xfId="0" applyNumberFormat="1"/>
    <xf numFmtId="10" fontId="10" fillId="0" borderId="0" xfId="0" applyNumberFormat="1" applyFont="1"/>
    <xf numFmtId="17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0" fillId="0" borderId="0" xfId="0" applyAlignment="1">
      <alignment horizontal="right"/>
    </xf>
    <xf numFmtId="168" fontId="0" fillId="0" borderId="0" xfId="0" applyNumberFormat="1"/>
    <xf numFmtId="3" fontId="1" fillId="0" borderId="0" xfId="0" applyNumberFormat="1" applyFont="1"/>
    <xf numFmtId="0" fontId="1" fillId="0" borderId="0" xfId="0" applyFont="1" applyAlignment="1">
      <alignment horizontal="center" wrapText="1"/>
    </xf>
    <xf numFmtId="169" fontId="0" fillId="0" borderId="0" xfId="1" applyNumberFormat="1" applyFont="1"/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7" fillId="0" borderId="0" xfId="0" applyFont="1" applyAlignment="1">
      <alignment horizontal="center"/>
    </xf>
    <xf numFmtId="17" fontId="0" fillId="3" borderId="0" xfId="0" applyNumberFormat="1" applyFill="1"/>
    <xf numFmtId="0" fontId="0" fillId="3" borderId="0" xfId="0" applyFill="1" applyAlignment="1">
      <alignment horizontal="center"/>
    </xf>
    <xf numFmtId="164" fontId="0" fillId="3" borderId="0" xfId="0" applyNumberFormat="1" applyFill="1" applyAlignment="1">
      <alignment horizontal="center"/>
    </xf>
    <xf numFmtId="17" fontId="0" fillId="0" borderId="0" xfId="0" applyNumberFormat="1" applyAlignment="1">
      <alignment horizontal="right"/>
    </xf>
    <xf numFmtId="17" fontId="0" fillId="3" borderId="0" xfId="0" applyNumberFormat="1" applyFill="1" applyAlignment="1">
      <alignment horizontal="right"/>
    </xf>
    <xf numFmtId="0" fontId="17" fillId="0" borderId="0" xfId="0" applyFont="1" applyAlignment="1">
      <alignment horizontal="center" wrapText="1"/>
    </xf>
    <xf numFmtId="14" fontId="0" fillId="0" borderId="0" xfId="0" applyNumberFormat="1" applyAlignment="1">
      <alignment horizontal="center"/>
    </xf>
    <xf numFmtId="164" fontId="1" fillId="0" borderId="0" xfId="0" applyNumberFormat="1" applyFont="1"/>
    <xf numFmtId="10" fontId="0" fillId="0" borderId="0" xfId="1" applyNumberFormat="1" applyFont="1"/>
    <xf numFmtId="0" fontId="38" fillId="0" borderId="0" xfId="0" applyFont="1"/>
    <xf numFmtId="0" fontId="10" fillId="0" borderId="0" xfId="0" applyFont="1"/>
    <xf numFmtId="164" fontId="10" fillId="0" borderId="0" xfId="0" applyNumberFormat="1" applyFont="1"/>
    <xf numFmtId="0" fontId="10" fillId="0" borderId="0" xfId="0" applyFont="1" applyAlignment="1">
      <alignment horizontal="right"/>
    </xf>
    <xf numFmtId="43" fontId="10" fillId="0" borderId="0" xfId="0" applyNumberFormat="1" applyFont="1"/>
    <xf numFmtId="172" fontId="0" fillId="0" borderId="0" xfId="1" applyNumberFormat="1" applyFont="1"/>
    <xf numFmtId="0" fontId="1" fillId="31" borderId="0" xfId="0" applyFont="1" applyFill="1" applyAlignment="1">
      <alignment horizontal="center" wrapText="1"/>
    </xf>
    <xf numFmtId="173" fontId="41" fillId="0" borderId="0" xfId="0" applyNumberFormat="1" applyFont="1"/>
    <xf numFmtId="3" fontId="42" fillId="0" borderId="0" xfId="0" applyNumberFormat="1" applyFont="1"/>
    <xf numFmtId="167" fontId="12" fillId="0" borderId="0" xfId="0" applyNumberFormat="1" applyFont="1"/>
    <xf numFmtId="43" fontId="0" fillId="32" borderId="0" xfId="0" applyNumberFormat="1" applyFill="1"/>
    <xf numFmtId="175" fontId="0" fillId="0" borderId="0" xfId="0" applyNumberFormat="1"/>
    <xf numFmtId="174" fontId="0" fillId="0" borderId="0" xfId="0" applyNumberFormat="1"/>
    <xf numFmtId="0" fontId="17" fillId="0" borderId="0" xfId="0" applyFont="1"/>
    <xf numFmtId="168" fontId="17" fillId="0" borderId="0" xfId="0" applyNumberFormat="1" applyFont="1"/>
    <xf numFmtId="176" fontId="0" fillId="0" borderId="0" xfId="0" applyNumberFormat="1"/>
    <xf numFmtId="169" fontId="0" fillId="0" borderId="0" xfId="1" applyNumberFormat="1" applyFont="1" applyFill="1"/>
    <xf numFmtId="4" fontId="1" fillId="0" borderId="0" xfId="0" applyNumberFormat="1" applyFont="1"/>
    <xf numFmtId="177" fontId="0" fillId="0" borderId="0" xfId="0" applyNumberFormat="1" applyAlignment="1">
      <alignment wrapText="1"/>
    </xf>
    <xf numFmtId="10" fontId="10" fillId="0" borderId="0" xfId="1" applyNumberFormat="1" applyFont="1" applyFill="1"/>
    <xf numFmtId="172" fontId="0" fillId="0" borderId="0" xfId="1" applyNumberFormat="1" applyFont="1" applyAlignment="1">
      <alignment horizontal="center"/>
    </xf>
    <xf numFmtId="172" fontId="10" fillId="0" borderId="0" xfId="1" applyNumberFormat="1" applyFont="1" applyFill="1" applyAlignment="1">
      <alignment horizontal="center"/>
    </xf>
    <xf numFmtId="0" fontId="0" fillId="0" borderId="0" xfId="0" applyAlignment="1">
      <alignment horizontal="left"/>
    </xf>
    <xf numFmtId="164" fontId="9" fillId="0" borderId="0" xfId="0" applyNumberFormat="1" applyFont="1" applyAlignment="1">
      <alignment horizontal="center"/>
    </xf>
    <xf numFmtId="164" fontId="10" fillId="3" borderId="0" xfId="0" applyNumberFormat="1" applyFont="1" applyFill="1" applyAlignment="1">
      <alignment horizontal="center"/>
    </xf>
    <xf numFmtId="168" fontId="17" fillId="31" borderId="0" xfId="0" applyNumberFormat="1" applyFont="1" applyFill="1"/>
    <xf numFmtId="8" fontId="0" fillId="0" borderId="0" xfId="0" applyNumberFormat="1"/>
    <xf numFmtId="44" fontId="0" fillId="0" borderId="0" xfId="142" applyFont="1"/>
    <xf numFmtId="9" fontId="0" fillId="0" borderId="0" xfId="1" applyFont="1"/>
    <xf numFmtId="3" fontId="9" fillId="0" borderId="0" xfId="0" applyNumberFormat="1" applyFont="1"/>
    <xf numFmtId="0" fontId="9" fillId="0" borderId="0" xfId="0" applyFont="1"/>
    <xf numFmtId="3" fontId="4" fillId="0" borderId="0" xfId="0" applyNumberFormat="1" applyFont="1"/>
    <xf numFmtId="165" fontId="1" fillId="0" borderId="0" xfId="0" applyNumberFormat="1" applyFont="1"/>
    <xf numFmtId="3" fontId="5" fillId="0" borderId="0" xfId="0" applyNumberFormat="1" applyFont="1"/>
    <xf numFmtId="17" fontId="1" fillId="0" borderId="0" xfId="0" applyNumberFormat="1" applyFont="1"/>
    <xf numFmtId="0" fontId="1" fillId="2" borderId="0" xfId="0" applyFont="1" applyFill="1"/>
    <xf numFmtId="17" fontId="1" fillId="2" borderId="0" xfId="0" applyNumberFormat="1" applyFont="1" applyFill="1"/>
    <xf numFmtId="168" fontId="1" fillId="0" borderId="0" xfId="0" applyNumberFormat="1" applyFont="1"/>
    <xf numFmtId="3" fontId="10" fillId="0" borderId="0" xfId="0" applyNumberFormat="1" applyFont="1"/>
    <xf numFmtId="43" fontId="1" fillId="31" borderId="0" xfId="0" applyNumberFormat="1" applyFont="1" applyFill="1"/>
    <xf numFmtId="0" fontId="5" fillId="0" borderId="0" xfId="0" applyFont="1"/>
    <xf numFmtId="17" fontId="1" fillId="30" borderId="0" xfId="0" applyNumberFormat="1" applyFont="1" applyFill="1"/>
    <xf numFmtId="164" fontId="1" fillId="0" borderId="0" xfId="0" applyNumberFormat="1" applyFont="1" applyAlignment="1">
      <alignment wrapText="1"/>
    </xf>
    <xf numFmtId="164" fontId="1" fillId="31" borderId="0" xfId="0" applyNumberFormat="1" applyFont="1" applyFill="1" applyAlignment="1">
      <alignment wrapText="1"/>
    </xf>
    <xf numFmtId="167" fontId="10" fillId="0" borderId="0" xfId="0" applyNumberFormat="1" applyFont="1"/>
    <xf numFmtId="172" fontId="10" fillId="0" borderId="0" xfId="1" applyNumberFormat="1" applyFont="1" applyFill="1"/>
    <xf numFmtId="169" fontId="10" fillId="0" borderId="0" xfId="1" applyNumberFormat="1" applyFont="1"/>
    <xf numFmtId="172" fontId="10" fillId="0" borderId="0" xfId="1" applyNumberFormat="1" applyFont="1"/>
    <xf numFmtId="164" fontId="10" fillId="0" borderId="0" xfId="0" applyNumberFormat="1" applyFont="1" applyAlignment="1">
      <alignment horizontal="center"/>
    </xf>
    <xf numFmtId="14" fontId="10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center"/>
    </xf>
  </cellXfs>
  <cellStyles count="143">
    <cellStyle name="20% - Ênfase1 2" xfId="3"/>
    <cellStyle name="20% - Ênfase2 2" xfId="4"/>
    <cellStyle name="20% - Ênfase3 2" xfId="56"/>
    <cellStyle name="20% - Ênfase3 2 2" xfId="88"/>
    <cellStyle name="20% - Ênfase3 3" xfId="5"/>
    <cellStyle name="20% - Ênfase4 2" xfId="55"/>
    <cellStyle name="20% - Ênfase4 2 2" xfId="87"/>
    <cellStyle name="20% - Ênfase4 3" xfId="6"/>
    <cellStyle name="20% - Ênfase5 2" xfId="7"/>
    <cellStyle name="20% - Ênfase6 2" xfId="8"/>
    <cellStyle name="40% - Ênfase1 2" xfId="9"/>
    <cellStyle name="40% - Ênfase2 2" xfId="10"/>
    <cellStyle name="40% - Ênfase3 2" xfId="11"/>
    <cellStyle name="40% - Ênfase4 2" xfId="12"/>
    <cellStyle name="40% - Ênfase5 2" xfId="13"/>
    <cellStyle name="40% - Ênfase6 2" xfId="14"/>
    <cellStyle name="60% - Ênfase1 2" xfId="15"/>
    <cellStyle name="60% - Ênfase2 2" xfId="16"/>
    <cellStyle name="60% - Ênfase3 2" xfId="17"/>
    <cellStyle name="60% - Ênfase4 2" xfId="18"/>
    <cellStyle name="60% - Ênfase5 2" xfId="19"/>
    <cellStyle name="60% - Ênfase6 2" xfId="20"/>
    <cellStyle name="Bom 2" xfId="46" hidden="1"/>
    <cellStyle name="Bom 2" xfId="80" hidden="1"/>
    <cellStyle name="Bom 2" xfId="130" hidden="1"/>
    <cellStyle name="Bom 2" xfId="136" hidden="1"/>
    <cellStyle name="Cálculo 2" xfId="21"/>
    <cellStyle name="Célula de Verificação 2" xfId="83" hidden="1"/>
    <cellStyle name="Célula de Verificação 2" xfId="49" hidden="1"/>
    <cellStyle name="Célula de Verificação 2" xfId="139" hidden="1"/>
    <cellStyle name="Célula de Verificação 2" xfId="133" hidden="1"/>
    <cellStyle name="Célula Vinculada 2" xfId="82" hidden="1"/>
    <cellStyle name="Célula Vinculada 2" xfId="48" hidden="1"/>
    <cellStyle name="Célula Vinculada 2" xfId="138" hidden="1"/>
    <cellStyle name="Célula Vinculada 2" xfId="132" hidden="1"/>
    <cellStyle name="Comma 2" xfId="74"/>
    <cellStyle name="Comma 2 2" xfId="104"/>
    <cellStyle name="Currency 2" xfId="71"/>
    <cellStyle name="Currency 3" xfId="114"/>
    <cellStyle name="Currency 4" xfId="117"/>
    <cellStyle name="Currency 4 2" xfId="120"/>
    <cellStyle name="Currency 5" xfId="129"/>
    <cellStyle name="Ênfase1 2" xfId="24"/>
    <cellStyle name="Ênfase2 2" xfId="25"/>
    <cellStyle name="Ênfase3 2" xfId="26"/>
    <cellStyle name="Ênfase4 2" xfId="27"/>
    <cellStyle name="Ênfase5 2" xfId="28"/>
    <cellStyle name="Ênfase6 2" xfId="29"/>
    <cellStyle name="Entrada 2" xfId="47" hidden="1"/>
    <cellStyle name="Entrada 2" xfId="81" hidden="1"/>
    <cellStyle name="Entrada 2" xfId="131" hidden="1"/>
    <cellStyle name="Entrada 2" xfId="137" hidden="1"/>
    <cellStyle name="Euro" xfId="30"/>
    <cellStyle name="Incorreto" xfId="31"/>
    <cellStyle name="Moeda" xfId="142" builtinId="4"/>
    <cellStyle name="Moeda 2" xfId="72"/>
    <cellStyle name="Moeda 2 2" xfId="103"/>
    <cellStyle name="Moeda 3" xfId="86"/>
    <cellStyle name="Moeda 3 2" xfId="110"/>
    <cellStyle name="Moeda 4" xfId="23"/>
    <cellStyle name="Neutra" xfId="32"/>
    <cellStyle name="Normal" xfId="0" builtinId="0"/>
    <cellStyle name="Normal 10" xfId="68"/>
    <cellStyle name="Normal 10 2" xfId="100"/>
    <cellStyle name="Normal 10 2 2" xfId="108"/>
    <cellStyle name="Normal 10 2 2 2" xfId="121"/>
    <cellStyle name="Normal 11" xfId="65"/>
    <cellStyle name="Normal 11 2" xfId="97"/>
    <cellStyle name="Normal 12" xfId="75"/>
    <cellStyle name="Normal 12 2" xfId="105"/>
    <cellStyle name="Normal 13" xfId="76"/>
    <cellStyle name="Normal 13 2" xfId="106"/>
    <cellStyle name="Normal 14" xfId="112"/>
    <cellStyle name="Normal 14 2" xfId="66"/>
    <cellStyle name="Normal 14 2 2" xfId="98"/>
    <cellStyle name="Normal 14 2 3" xfId="122"/>
    <cellStyle name="Normal 14 2 7" xfId="78"/>
    <cellStyle name="Normal 14 2 7 2" xfId="111"/>
    <cellStyle name="Normal 15" xfId="115"/>
    <cellStyle name="Normal 15 2" xfId="118"/>
    <cellStyle name="Normal 16" xfId="125"/>
    <cellStyle name="Normal 17" xfId="127"/>
    <cellStyle name="Normal 18" xfId="2"/>
    <cellStyle name="Normal 2" xfId="33"/>
    <cellStyle name="Normal 2 2" xfId="34"/>
    <cellStyle name="Normal 2 3" xfId="52"/>
    <cellStyle name="Normal 3" xfId="35"/>
    <cellStyle name="Normal 4" xfId="54"/>
    <cellStyle name="Normal 5" xfId="57"/>
    <cellStyle name="Normal 5 2" xfId="89"/>
    <cellStyle name="Normal 6" xfId="59"/>
    <cellStyle name="Normal 6 2" xfId="91"/>
    <cellStyle name="Normal 7" xfId="61"/>
    <cellStyle name="Normal 7 2" xfId="93"/>
    <cellStyle name="Normal 8" xfId="62"/>
    <cellStyle name="Normal 8 2" xfId="94"/>
    <cellStyle name="Normal 9" xfId="63"/>
    <cellStyle name="Normal 9 2" xfId="95"/>
    <cellStyle name="Nota 2" xfId="51" hidden="1"/>
    <cellStyle name="Nota 2" xfId="85" hidden="1"/>
    <cellStyle name="Nota 2" xfId="135" hidden="1"/>
    <cellStyle name="Nota 2" xfId="141" hidden="1"/>
    <cellStyle name="Percent 2" xfId="73"/>
    <cellStyle name="Percent 3" xfId="113"/>
    <cellStyle name="Percent 4" xfId="116"/>
    <cellStyle name="Percent 4 2" xfId="119"/>
    <cellStyle name="Percent 5" xfId="128"/>
    <cellStyle name="Porcentagem" xfId="1" builtinId="5"/>
    <cellStyle name="Porcentagem 2" xfId="67"/>
    <cellStyle name="Porcentagem 2 2" xfId="99"/>
    <cellStyle name="Porcentagem 2 2 2" xfId="109"/>
    <cellStyle name="Porcentagem 2 3" xfId="124"/>
    <cellStyle name="Porcentagem 3" xfId="70"/>
    <cellStyle name="Porcentagem 3 2" xfId="77"/>
    <cellStyle name="Porcentagem 3 2 2" xfId="107"/>
    <cellStyle name="Porcentagem 3 3" xfId="102"/>
    <cellStyle name="Porcentagem 3 4" xfId="126"/>
    <cellStyle name="Porcentagem 4" xfId="36"/>
    <cellStyle name="Saída 2" xfId="37"/>
    <cellStyle name="Sep. milhar [0]" xfId="38"/>
    <cellStyle name="Texto de Aviso 2" xfId="50" hidden="1"/>
    <cellStyle name="Texto de Aviso 2" xfId="84" hidden="1"/>
    <cellStyle name="Texto de Aviso 2" xfId="134" hidden="1"/>
    <cellStyle name="Texto de Aviso 2" xfId="140" hidden="1"/>
    <cellStyle name="Texto Explicativo 2" xfId="39"/>
    <cellStyle name="Título 1 2" xfId="53"/>
    <cellStyle name="Título 1 3" xfId="41"/>
    <cellStyle name="Título 2 2" xfId="42"/>
    <cellStyle name="Título 3 2" xfId="43"/>
    <cellStyle name="Título 4 2" xfId="44"/>
    <cellStyle name="Título 5" xfId="40"/>
    <cellStyle name="Vírgula 2" xfId="45"/>
    <cellStyle name="Vírgula 2 2" xfId="79"/>
    <cellStyle name="Vírgula 2 3" xfId="123"/>
    <cellStyle name="Vírgula 3" xfId="58"/>
    <cellStyle name="Vírgula 3 2" xfId="90"/>
    <cellStyle name="Vírgula 4" xfId="60"/>
    <cellStyle name="Vírgula 4 2" xfId="92"/>
    <cellStyle name="Vírgula 5" xfId="64"/>
    <cellStyle name="Vírgula 5 2" xfId="96"/>
    <cellStyle name="Vírgula 6" xfId="69"/>
    <cellStyle name="Vírgula 6 2" xfId="101"/>
    <cellStyle name="Vírgula 7" xfId="2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N110"/>
  <sheetViews>
    <sheetView zoomScaleNormal="100" workbookViewId="0">
      <pane xSplit="3" ySplit="1" topLeftCell="D97" activePane="bottomRight" state="frozen"/>
      <selection pane="topRight" activeCell="E1" sqref="E1"/>
      <selection pane="bottomLeft" activeCell="A2" sqref="A2"/>
      <selection pane="bottomRight" activeCell="D109" sqref="D109"/>
    </sheetView>
  </sheetViews>
  <sheetFormatPr defaultRowHeight="14.25"/>
  <cols>
    <col min="1" max="1" width="30.75" bestFit="1" customWidth="1"/>
    <col min="2" max="2" width="11" bestFit="1" customWidth="1"/>
    <col min="3" max="3" width="38.875" customWidth="1"/>
    <col min="4" max="4" width="14.375" customWidth="1"/>
    <col min="5" max="9" width="9.375" bestFit="1" customWidth="1"/>
    <col min="11" max="11" width="16.125" bestFit="1" customWidth="1"/>
  </cols>
  <sheetData>
    <row r="1" spans="1:14" ht="15">
      <c r="B1" s="7" t="s">
        <v>0</v>
      </c>
      <c r="C1" s="7" t="s">
        <v>1</v>
      </c>
      <c r="D1" s="84">
        <v>45992</v>
      </c>
      <c r="E1" s="84">
        <v>46023</v>
      </c>
      <c r="F1" s="84">
        <v>46054</v>
      </c>
      <c r="G1" s="84">
        <v>46082</v>
      </c>
      <c r="H1" s="84">
        <v>46113</v>
      </c>
      <c r="I1" s="84">
        <v>46143</v>
      </c>
    </row>
    <row r="2" spans="1:14" s="7" customFormat="1" ht="15">
      <c r="A2" t="s">
        <v>2</v>
      </c>
      <c r="C2" s="7" t="s">
        <v>3</v>
      </c>
    </row>
    <row r="3" spans="1:14">
      <c r="A3" t="s">
        <v>4</v>
      </c>
      <c r="B3" t="s">
        <v>5</v>
      </c>
      <c r="C3" t="s">
        <v>6</v>
      </c>
      <c r="D3" s="20">
        <f t="shared" ref="D3:E3" si="0">ROUND(D6*D5*D4/D7,4)</f>
        <v>1.7457</v>
      </c>
      <c r="E3" s="20">
        <f t="shared" si="0"/>
        <v>1.7457</v>
      </c>
      <c r="F3" s="20">
        <f>ROUND(F6*F5*F4/F7,4)</f>
        <v>1.5995999999999999</v>
      </c>
      <c r="G3" s="20">
        <f>ROUND(G6*G5*G4/G7,4)</f>
        <v>1.5995999999999999</v>
      </c>
      <c r="H3" s="20">
        <f>ROUND(H6*H5*H4/H7,4)</f>
        <v>1.5995999999999999</v>
      </c>
      <c r="I3" s="20">
        <f>ROUND(I6*I5*I4/I7,4)</f>
        <v>1.9374</v>
      </c>
    </row>
    <row r="4" spans="1:14">
      <c r="A4" t="s">
        <v>4</v>
      </c>
      <c r="B4" t="s">
        <v>7</v>
      </c>
      <c r="C4" t="s">
        <v>8</v>
      </c>
      <c r="D4" s="20">
        <f>Indicadores!Y7</f>
        <v>5.4488000000000003</v>
      </c>
      <c r="E4" s="20">
        <f>Indicadores!Z7</f>
        <v>5.4488000000000003</v>
      </c>
      <c r="F4" s="20">
        <f>Indicadores!AA7</f>
        <v>5.3955000000000002</v>
      </c>
      <c r="G4" s="20">
        <f>Indicadores!AB7</f>
        <v>5.3955000000000002</v>
      </c>
      <c r="H4" s="20">
        <f>Indicadores!AC7</f>
        <v>5.3955000000000002</v>
      </c>
      <c r="I4" s="20">
        <f>Indicadores!AD7</f>
        <v>5.2591000000000001</v>
      </c>
    </row>
    <row r="5" spans="1:14">
      <c r="A5" t="s">
        <v>4</v>
      </c>
      <c r="B5" t="s">
        <v>9</v>
      </c>
      <c r="C5" t="s">
        <v>10</v>
      </c>
      <c r="D5">
        <f>Indicadores!Y2</f>
        <v>68.165000000000006</v>
      </c>
      <c r="E5">
        <f>Indicadores!Z2</f>
        <v>68.165000000000006</v>
      </c>
      <c r="F5">
        <f>Indicadores!AA2</f>
        <v>63.077199999999998</v>
      </c>
      <c r="G5">
        <f>Indicadores!AB2</f>
        <v>63.077199999999998</v>
      </c>
      <c r="H5">
        <f>Indicadores!AC2</f>
        <v>63.077199999999998</v>
      </c>
      <c r="I5">
        <f>Indicadores!AD2</f>
        <v>78.378100000000003</v>
      </c>
    </row>
    <row r="6" spans="1:14">
      <c r="A6" t="s">
        <v>4</v>
      </c>
      <c r="B6" t="s">
        <v>11</v>
      </c>
      <c r="C6" t="s">
        <v>12</v>
      </c>
      <c r="D6" s="4">
        <v>0.126</v>
      </c>
      <c r="E6" s="4">
        <v>0.126</v>
      </c>
      <c r="F6" s="4">
        <v>0.126</v>
      </c>
      <c r="G6" s="4">
        <v>0.126</v>
      </c>
      <c r="H6" s="4">
        <v>0.126</v>
      </c>
      <c r="I6" s="4">
        <v>0.126</v>
      </c>
      <c r="J6" s="1"/>
      <c r="K6" s="1"/>
      <c r="L6" s="1"/>
      <c r="M6" s="1"/>
      <c r="N6" s="1"/>
    </row>
    <row r="7" spans="1:14">
      <c r="A7" t="s">
        <v>4</v>
      </c>
      <c r="B7" t="s">
        <v>13</v>
      </c>
      <c r="C7" t="s">
        <v>14</v>
      </c>
      <c r="D7">
        <v>26.8081</v>
      </c>
      <c r="E7">
        <v>26.8081</v>
      </c>
      <c r="F7">
        <v>26.8081</v>
      </c>
      <c r="G7">
        <v>26.8081</v>
      </c>
      <c r="H7">
        <v>26.8081</v>
      </c>
      <c r="I7">
        <v>26.8081</v>
      </c>
    </row>
    <row r="8" spans="1:14">
      <c r="A8" t="s">
        <v>4</v>
      </c>
      <c r="B8" t="s">
        <v>15</v>
      </c>
      <c r="C8" t="s">
        <v>16</v>
      </c>
      <c r="D8" s="20">
        <f t="shared" ref="D8:E8" si="1">ROUND((D9+D10+D11)/D7,4)</f>
        <v>0.249</v>
      </c>
      <c r="E8" s="20">
        <f t="shared" si="1"/>
        <v>0.2492</v>
      </c>
      <c r="F8" s="20">
        <f>ROUND((F9+F10+F11)/F7,4)</f>
        <v>0.2492</v>
      </c>
      <c r="G8" s="20">
        <f>ROUND((G9+G10+G11)/G7,4)</f>
        <v>0.2492</v>
      </c>
      <c r="H8" s="20">
        <f>ROUND((H9+H10+H11)/H7,4)</f>
        <v>0.2492</v>
      </c>
      <c r="I8" s="20">
        <f>ROUND((I9+I10+I11)/I7,4)</f>
        <v>0.24929999999999999</v>
      </c>
    </row>
    <row r="9" spans="1:14">
      <c r="A9" t="s">
        <v>4</v>
      </c>
      <c r="B9" t="s">
        <v>17</v>
      </c>
      <c r="C9" t="s">
        <v>18</v>
      </c>
      <c r="D9" s="51">
        <f>6.1065+0.0212+0.0157</f>
        <v>6.1433999999999997</v>
      </c>
      <c r="E9" s="52">
        <f>6.1065+0.0212+0.0163</f>
        <v>6.1440000000000001</v>
      </c>
      <c r="F9" s="52">
        <f>6.1065+0.0212+0.0161</f>
        <v>6.1437999999999997</v>
      </c>
      <c r="G9" s="52">
        <f>6.1065+0.0212+0.016</f>
        <v>6.1436999999999999</v>
      </c>
      <c r="H9" s="52">
        <f>6.1065+0.0212+0.016</f>
        <v>6.1436999999999999</v>
      </c>
      <c r="I9" s="52">
        <f>6.1065+0.0212+0.0185</f>
        <v>6.1462000000000003</v>
      </c>
    </row>
    <row r="10" spans="1:14">
      <c r="A10" t="s">
        <v>4</v>
      </c>
      <c r="B10" t="s">
        <v>19</v>
      </c>
      <c r="C10" t="s">
        <v>20</v>
      </c>
      <c r="D10" s="51">
        <f>0.3028+0.0212+0.0157</f>
        <v>0.3397</v>
      </c>
      <c r="E10" s="51">
        <f>0.3028+0.0212+0.0163</f>
        <v>0.34029999999999999</v>
      </c>
      <c r="F10" s="51">
        <f>0.3028+0.0212+0.0161</f>
        <v>0.34010000000000001</v>
      </c>
      <c r="G10" s="52">
        <f>0.3028+0.0212+0.016</f>
        <v>0.34</v>
      </c>
      <c r="H10" s="52">
        <f>0.3028+0.0212+0.016</f>
        <v>0.34</v>
      </c>
      <c r="I10" s="52">
        <f>0.3028+0.0212+0.0185</f>
        <v>0.34250000000000003</v>
      </c>
    </row>
    <row r="11" spans="1:14">
      <c r="A11" t="s">
        <v>4</v>
      </c>
      <c r="B11" t="s">
        <v>21</v>
      </c>
      <c r="C11" t="s">
        <v>22</v>
      </c>
      <c r="D11" s="51">
        <v>0.19309999999999999</v>
      </c>
      <c r="E11" s="51">
        <v>0.1958</v>
      </c>
      <c r="F11" s="51">
        <v>0.1958</v>
      </c>
      <c r="G11" s="51">
        <v>0.1958</v>
      </c>
      <c r="H11" s="51">
        <v>0.1958</v>
      </c>
      <c r="I11" s="51">
        <v>0.1958</v>
      </c>
    </row>
    <row r="12" spans="1:14" s="50" customFormat="1" ht="16.5">
      <c r="A12" s="51" t="s">
        <v>4</v>
      </c>
      <c r="B12" s="51" t="s">
        <v>23</v>
      </c>
      <c r="C12" s="51" t="s">
        <v>24</v>
      </c>
      <c r="D12" s="52">
        <v>1.7999999999999999E-2</v>
      </c>
      <c r="E12" s="52">
        <v>2.0127520161290151E-2</v>
      </c>
      <c r="F12" s="52">
        <v>2.1121897321429061E-2</v>
      </c>
      <c r="G12" s="52">
        <v>1.8726102150537795E-2</v>
      </c>
      <c r="H12" s="52">
        <v>3.1503701388889332E-2</v>
      </c>
      <c r="I12" s="52">
        <v>3.8598897849462806E-2</v>
      </c>
      <c r="J12" s="80"/>
      <c r="K12" s="80"/>
      <c r="L12" s="80"/>
      <c r="M12" s="80"/>
      <c r="N12" s="80"/>
    </row>
    <row r="13" spans="1:14">
      <c r="A13" t="s">
        <v>4</v>
      </c>
      <c r="B13" t="s">
        <v>25</v>
      </c>
      <c r="C13" t="s">
        <v>26</v>
      </c>
      <c r="D13" s="20">
        <f t="shared" ref="D13:H13" si="2">SUM(D3,D8,D12)</f>
        <v>2.0126999999999997</v>
      </c>
      <c r="E13" s="20">
        <f t="shared" si="2"/>
        <v>2.0150275201612904</v>
      </c>
      <c r="F13" s="20">
        <f t="shared" si="2"/>
        <v>1.8699218973214291</v>
      </c>
      <c r="G13" s="20">
        <f t="shared" si="2"/>
        <v>1.8675261021505378</v>
      </c>
      <c r="H13" s="20">
        <f t="shared" si="2"/>
        <v>1.8803037013888892</v>
      </c>
      <c r="I13" s="20">
        <f>SUM(I3,I8,I12)</f>
        <v>2.2252988978494628</v>
      </c>
    </row>
    <row r="14" spans="1:14">
      <c r="A14" t="s">
        <v>27</v>
      </c>
      <c r="B14" t="s">
        <v>28</v>
      </c>
      <c r="C14" t="s">
        <v>29</v>
      </c>
      <c r="D14" s="52">
        <f t="shared" ref="D14:I14" si="3">ROUND(1.26*D3+D8,4)</f>
        <v>2.4485999999999999</v>
      </c>
      <c r="E14" s="52">
        <f t="shared" si="3"/>
        <v>2.4487999999999999</v>
      </c>
      <c r="F14" s="52">
        <f t="shared" si="3"/>
        <v>2.2646999999999999</v>
      </c>
      <c r="G14" s="52">
        <f t="shared" si="3"/>
        <v>2.2646999999999999</v>
      </c>
      <c r="H14" s="52">
        <f t="shared" si="3"/>
        <v>2.2646999999999999</v>
      </c>
      <c r="I14" s="52">
        <f t="shared" si="3"/>
        <v>2.6903999999999999</v>
      </c>
    </row>
    <row r="15" spans="1:14">
      <c r="A15" t="s">
        <v>30</v>
      </c>
      <c r="B15" t="s">
        <v>31</v>
      </c>
      <c r="C15" t="s">
        <v>32</v>
      </c>
    </row>
    <row r="17" spans="1:9">
      <c r="H17" t="s">
        <v>33</v>
      </c>
      <c r="I17" t="s">
        <v>33</v>
      </c>
    </row>
    <row r="18" spans="1:9" ht="15">
      <c r="A18" t="s">
        <v>2</v>
      </c>
      <c r="C18" s="7" t="s">
        <v>34</v>
      </c>
      <c r="D18" s="84">
        <v>45992</v>
      </c>
      <c r="E18" s="84">
        <v>46023</v>
      </c>
      <c r="F18" s="84">
        <v>46054</v>
      </c>
      <c r="G18" s="84">
        <v>46082</v>
      </c>
      <c r="H18" s="84">
        <v>46113</v>
      </c>
      <c r="I18" s="84">
        <v>46143</v>
      </c>
    </row>
    <row r="19" spans="1:9">
      <c r="A19" t="s">
        <v>4</v>
      </c>
      <c r="B19" t="s">
        <v>5</v>
      </c>
      <c r="C19" t="s">
        <v>35</v>
      </c>
      <c r="D19">
        <f t="shared" ref="D19" si="4">ROUND(D22*D21*D20/D23,4)</f>
        <v>1.6297999999999999</v>
      </c>
    </row>
    <row r="20" spans="1:9">
      <c r="A20" t="s">
        <v>4</v>
      </c>
      <c r="B20" t="s">
        <v>7</v>
      </c>
      <c r="C20" t="s">
        <v>36</v>
      </c>
      <c r="D20">
        <f>Indicadores!Y7</f>
        <v>5.4488000000000003</v>
      </c>
    </row>
    <row r="21" spans="1:9">
      <c r="A21" t="s">
        <v>4</v>
      </c>
      <c r="B21" t="s">
        <v>37</v>
      </c>
      <c r="C21" t="s">
        <v>38</v>
      </c>
      <c r="D21" s="52">
        <f>Indicadores!Y3</f>
        <v>69.1267</v>
      </c>
      <c r="E21" s="52"/>
    </row>
    <row r="22" spans="1:9">
      <c r="A22" t="s">
        <v>4</v>
      </c>
      <c r="B22" t="s">
        <v>11</v>
      </c>
      <c r="C22" t="s">
        <v>12</v>
      </c>
      <c r="D22" s="4">
        <v>0.11600000000000001</v>
      </c>
      <c r="E22" s="4"/>
    </row>
    <row r="23" spans="1:9">
      <c r="A23" t="s">
        <v>4</v>
      </c>
      <c r="B23" t="s">
        <v>13</v>
      </c>
      <c r="C23" t="s">
        <v>14</v>
      </c>
      <c r="D23">
        <v>26.8081</v>
      </c>
    </row>
    <row r="24" spans="1:9">
      <c r="A24" t="s">
        <v>4</v>
      </c>
      <c r="B24" t="s">
        <v>15</v>
      </c>
      <c r="C24" t="s">
        <v>16</v>
      </c>
      <c r="D24" s="20">
        <f t="shared" ref="D24" si="5">ROUND(D27*D25/D26,4)</f>
        <v>0.41210000000000002</v>
      </c>
      <c r="E24" s="20"/>
    </row>
    <row r="25" spans="1:9">
      <c r="A25" t="s">
        <v>4</v>
      </c>
      <c r="B25" t="s">
        <v>39</v>
      </c>
      <c r="C25" t="s">
        <v>40</v>
      </c>
      <c r="D25" s="25">
        <f>Indicadores!$P$11</f>
        <v>1209.432</v>
      </c>
      <c r="E25" s="25"/>
    </row>
    <row r="26" spans="1:9">
      <c r="A26" t="s">
        <v>4</v>
      </c>
      <c r="B26" t="s">
        <v>41</v>
      </c>
      <c r="C26" t="s">
        <v>41</v>
      </c>
      <c r="D26" s="25">
        <v>771.90800000000002</v>
      </c>
      <c r="E26" s="25"/>
    </row>
    <row r="27" spans="1:9">
      <c r="A27" t="s">
        <v>4</v>
      </c>
      <c r="B27" t="s">
        <v>42</v>
      </c>
      <c r="C27" t="s">
        <v>42</v>
      </c>
      <c r="D27" s="20">
        <v>0.26300000000000001</v>
      </c>
      <c r="E27" s="20"/>
    </row>
    <row r="28" spans="1:9">
      <c r="A28" t="s">
        <v>4</v>
      </c>
      <c r="B28" t="s">
        <v>25</v>
      </c>
      <c r="C28" t="s">
        <v>43</v>
      </c>
      <c r="D28" s="20">
        <f t="shared" ref="D28" si="6">SUM(D19,D24)</f>
        <v>2.0419</v>
      </c>
      <c r="E28" s="20"/>
    </row>
    <row r="29" spans="1:9" s="6" customFormat="1">
      <c r="A29" s="6" t="s">
        <v>44</v>
      </c>
      <c r="B29" s="6" t="s">
        <v>45</v>
      </c>
      <c r="C29" s="6" t="s">
        <v>46</v>
      </c>
      <c r="D29" s="24">
        <v>0.11</v>
      </c>
      <c r="E29" s="24"/>
    </row>
    <row r="30" spans="1:9">
      <c r="A30" t="s">
        <v>44</v>
      </c>
      <c r="B30" t="s">
        <v>47</v>
      </c>
      <c r="C30" t="s">
        <v>48</v>
      </c>
      <c r="D30" s="20">
        <f t="shared" ref="D30" si="7">ROUND(D20*D21*D29/D23,4)</f>
        <v>1.5455000000000001</v>
      </c>
      <c r="E30" s="20"/>
    </row>
    <row r="31" spans="1:9">
      <c r="A31" t="s">
        <v>44</v>
      </c>
      <c r="B31" t="s">
        <v>49</v>
      </c>
      <c r="C31" s="23" t="s">
        <v>50</v>
      </c>
      <c r="D31" s="20">
        <f t="shared" ref="D31" si="8">D30+D24</f>
        <v>1.9576000000000002</v>
      </c>
      <c r="E31" s="20"/>
    </row>
    <row r="32" spans="1:9">
      <c r="A32" t="s">
        <v>51</v>
      </c>
      <c r="B32" t="s">
        <v>52</v>
      </c>
      <c r="C32" t="s">
        <v>53</v>
      </c>
      <c r="D32" s="52">
        <f t="shared" ref="D32" si="9">ROUND(1.5*D19+D24,4)</f>
        <v>2.8567999999999998</v>
      </c>
      <c r="E32" s="52"/>
    </row>
    <row r="33" spans="1:11">
      <c r="A33" t="s">
        <v>51</v>
      </c>
      <c r="B33" t="s">
        <v>54</v>
      </c>
      <c r="C33" t="s">
        <v>55</v>
      </c>
      <c r="D33" s="52">
        <f t="shared" ref="D33" si="10">ROUND(2*D19+D24,4)</f>
        <v>3.6717</v>
      </c>
      <c r="E33" s="52"/>
    </row>
    <row r="34" spans="1:11" s="7" customFormat="1" ht="15"/>
    <row r="36" spans="1:11" ht="15">
      <c r="A36" t="s">
        <v>2</v>
      </c>
      <c r="C36" s="7" t="s">
        <v>56</v>
      </c>
      <c r="D36" s="84">
        <v>45992</v>
      </c>
      <c r="E36" s="84">
        <v>46023</v>
      </c>
      <c r="F36" s="84">
        <v>46054</v>
      </c>
      <c r="G36" s="84">
        <v>46082</v>
      </c>
      <c r="H36" s="84">
        <v>46113</v>
      </c>
      <c r="I36" s="84">
        <v>46143</v>
      </c>
    </row>
    <row r="37" spans="1:11">
      <c r="A37" t="s">
        <v>4</v>
      </c>
      <c r="B37" t="s">
        <v>5</v>
      </c>
      <c r="C37" t="s">
        <v>35</v>
      </c>
      <c r="D37">
        <f t="shared" ref="D37:G37" si="11">ROUND(D40*D39*D38/D41,4)</f>
        <v>1.6487000000000001</v>
      </c>
      <c r="E37">
        <f t="shared" si="11"/>
        <v>1.6487000000000001</v>
      </c>
      <c r="F37">
        <f t="shared" si="11"/>
        <v>1.5106999999999999</v>
      </c>
      <c r="G37">
        <f t="shared" si="11"/>
        <v>1.5106999999999999</v>
      </c>
      <c r="H37" s="20">
        <f>ROUND((MAX(5,(H40*H39)))*H38/H41,4)</f>
        <v>1.476</v>
      </c>
      <c r="I37" s="20">
        <f>ROUND((MAX(5,(I40*I39)))*I38/I41,4)</f>
        <v>1.7877000000000001</v>
      </c>
    </row>
    <row r="38" spans="1:11">
      <c r="A38" t="s">
        <v>4</v>
      </c>
      <c r="B38" t="s">
        <v>7</v>
      </c>
      <c r="C38" t="s">
        <v>36</v>
      </c>
      <c r="D38">
        <f>Indicadores!Y7</f>
        <v>5.4488000000000003</v>
      </c>
      <c r="E38">
        <f>Indicadores!Z7</f>
        <v>5.4488000000000003</v>
      </c>
      <c r="F38">
        <f>Indicadores!AA7</f>
        <v>5.3955000000000002</v>
      </c>
      <c r="G38">
        <f>Indicadores!AB7</f>
        <v>5.3955000000000002</v>
      </c>
      <c r="H38" s="20">
        <f>Indicadores!AC7</f>
        <v>5.3955000000000002</v>
      </c>
      <c r="I38" s="20">
        <f>Indicadores!AD7</f>
        <v>5.2591000000000001</v>
      </c>
    </row>
    <row r="39" spans="1:11">
      <c r="A39" t="s">
        <v>4</v>
      </c>
      <c r="B39" t="s">
        <v>9</v>
      </c>
      <c r="C39" t="s">
        <v>38</v>
      </c>
      <c r="D39">
        <f>Indicadores!Y2</f>
        <v>68.165000000000006</v>
      </c>
      <c r="E39">
        <f>Indicadores!Z2</f>
        <v>68.165000000000006</v>
      </c>
      <c r="F39">
        <f>Indicadores!AA2</f>
        <v>63.077199999999998</v>
      </c>
      <c r="G39">
        <f>Indicadores!AB2</f>
        <v>63.077199999999998</v>
      </c>
      <c r="H39">
        <f>Indicadores!AC2</f>
        <v>63.077199999999998</v>
      </c>
      <c r="I39">
        <f>Indicadores!AD2</f>
        <v>78.378100000000003</v>
      </c>
    </row>
    <row r="40" spans="1:11">
      <c r="A40" t="s">
        <v>4</v>
      </c>
      <c r="B40" t="s">
        <v>11</v>
      </c>
      <c r="C40" t="s">
        <v>12</v>
      </c>
      <c r="D40" s="4">
        <v>0.11899999999999999</v>
      </c>
      <c r="E40" s="4">
        <v>0.11899999999999999</v>
      </c>
      <c r="F40" s="4">
        <v>0.11899999999999999</v>
      </c>
      <c r="G40" s="4">
        <v>0.11899999999999999</v>
      </c>
      <c r="H40" s="4">
        <f>(0.6*12.19%+0.3*10.5%)/0.9</f>
        <v>0.11626666666666666</v>
      </c>
      <c r="I40" s="4">
        <f>(0.6*12.19%+0.3*10.5%)/0.9</f>
        <v>0.11626666666666666</v>
      </c>
      <c r="K40" s="49"/>
    </row>
    <row r="41" spans="1:11">
      <c r="A41" t="s">
        <v>4</v>
      </c>
      <c r="B41" t="s">
        <v>13</v>
      </c>
      <c r="C41" t="s">
        <v>14</v>
      </c>
      <c r="D41">
        <v>26.8081</v>
      </c>
      <c r="E41">
        <v>26.8081</v>
      </c>
      <c r="F41">
        <v>26.8081</v>
      </c>
      <c r="G41">
        <v>26.8081</v>
      </c>
      <c r="H41">
        <v>26.8081</v>
      </c>
      <c r="I41">
        <v>26.8081</v>
      </c>
    </row>
    <row r="42" spans="1:11">
      <c r="A42" t="s">
        <v>4</v>
      </c>
      <c r="B42" t="s">
        <v>15</v>
      </c>
      <c r="C42" t="s">
        <v>16</v>
      </c>
      <c r="D42" s="20">
        <f t="shared" ref="D42:I42" si="12">ROUND(D45*D43/D44,4)</f>
        <v>0.31259999999999999</v>
      </c>
      <c r="E42" s="20">
        <f t="shared" si="12"/>
        <v>0.31219999999999998</v>
      </c>
      <c r="F42" s="20">
        <f t="shared" si="12"/>
        <v>0.31219999999999998</v>
      </c>
      <c r="G42" s="20">
        <f t="shared" si="12"/>
        <v>0.31219999999999998</v>
      </c>
      <c r="H42" s="20">
        <f t="shared" si="12"/>
        <v>0.31219999999999998</v>
      </c>
      <c r="I42" s="20">
        <f t="shared" si="12"/>
        <v>0.31219999999999998</v>
      </c>
    </row>
    <row r="43" spans="1:11">
      <c r="A43" t="s">
        <v>4</v>
      </c>
      <c r="B43" t="s">
        <v>39</v>
      </c>
      <c r="C43" t="s">
        <v>40</v>
      </c>
      <c r="D43" s="25">
        <f>Indicadores!$L$11</f>
        <v>1186.462</v>
      </c>
      <c r="E43" s="59">
        <f>Indicadores!$X$11</f>
        <v>1185.175</v>
      </c>
      <c r="F43" s="59">
        <f>Indicadores!$X$11</f>
        <v>1185.175</v>
      </c>
      <c r="G43" s="59">
        <f>Indicadores!$X$11</f>
        <v>1185.175</v>
      </c>
      <c r="H43" s="59">
        <f>Indicadores!$X$11</f>
        <v>1185.175</v>
      </c>
      <c r="I43" s="59">
        <f>Indicadores!$X$11</f>
        <v>1185.175</v>
      </c>
    </row>
    <row r="44" spans="1:11">
      <c r="A44" t="s">
        <v>4</v>
      </c>
      <c r="B44" t="s">
        <v>41</v>
      </c>
      <c r="C44" t="s">
        <v>41</v>
      </c>
      <c r="D44" s="25">
        <v>1155.829</v>
      </c>
      <c r="E44" s="25">
        <v>1155.829</v>
      </c>
      <c r="F44" s="25">
        <v>1155.829</v>
      </c>
      <c r="G44" s="25">
        <v>1155.829</v>
      </c>
      <c r="H44" s="25">
        <v>1155.829</v>
      </c>
      <c r="I44" s="25">
        <v>1155.829</v>
      </c>
    </row>
    <row r="45" spans="1:11">
      <c r="A45" t="s">
        <v>4</v>
      </c>
      <c r="B45" t="s">
        <v>42</v>
      </c>
      <c r="C45" t="s">
        <v>42</v>
      </c>
      <c r="D45">
        <v>0.30449999999999999</v>
      </c>
      <c r="E45">
        <v>0.30449999999999999</v>
      </c>
      <c r="F45">
        <v>0.30449999999999999</v>
      </c>
      <c r="G45">
        <v>0.30449999999999999</v>
      </c>
      <c r="H45">
        <v>0.30449999999999999</v>
      </c>
      <c r="I45">
        <v>0.30449999999999999</v>
      </c>
    </row>
    <row r="46" spans="1:11">
      <c r="A46" t="s">
        <v>4</v>
      </c>
      <c r="B46" t="s">
        <v>25</v>
      </c>
      <c r="C46" t="s">
        <v>57</v>
      </c>
      <c r="D46">
        <f t="shared" ref="D46:I46" si="13">SUM(D37,D42)</f>
        <v>1.9613</v>
      </c>
      <c r="E46">
        <f t="shared" si="13"/>
        <v>1.9609000000000001</v>
      </c>
      <c r="F46">
        <f t="shared" si="13"/>
        <v>1.8229</v>
      </c>
      <c r="G46">
        <f t="shared" si="13"/>
        <v>1.8229</v>
      </c>
      <c r="H46" s="20">
        <f t="shared" si="13"/>
        <v>1.7882</v>
      </c>
      <c r="I46" s="20">
        <f t="shared" si="13"/>
        <v>2.0998999999999999</v>
      </c>
    </row>
    <row r="47" spans="1:11" s="6" customFormat="1">
      <c r="A47" s="6" t="s">
        <v>44</v>
      </c>
      <c r="B47" s="6" t="s">
        <v>45</v>
      </c>
      <c r="C47" s="6" t="s">
        <v>46</v>
      </c>
      <c r="D47" s="24">
        <v>0.11</v>
      </c>
      <c r="E47" s="24">
        <v>0.11</v>
      </c>
      <c r="F47" s="24">
        <v>0.11</v>
      </c>
      <c r="G47" s="24">
        <v>0.11</v>
      </c>
      <c r="H47" s="68"/>
      <c r="I47" s="68"/>
    </row>
    <row r="48" spans="1:11">
      <c r="A48" t="s">
        <v>44</v>
      </c>
      <c r="B48" t="s">
        <v>47</v>
      </c>
      <c r="C48" t="s">
        <v>48</v>
      </c>
      <c r="D48" s="20">
        <f t="shared" ref="D48:G48" si="14">ROUND((D38*D39*D47)/D41,4)</f>
        <v>1.524</v>
      </c>
      <c r="E48" s="20">
        <f t="shared" si="14"/>
        <v>1.524</v>
      </c>
      <c r="F48" s="20">
        <f t="shared" si="14"/>
        <v>1.3965000000000001</v>
      </c>
      <c r="G48" s="20">
        <f t="shared" si="14"/>
        <v>1.3965000000000001</v>
      </c>
      <c r="H48" s="20"/>
      <c r="I48" s="20"/>
    </row>
    <row r="49" spans="1:9">
      <c r="A49" t="s">
        <v>44</v>
      </c>
      <c r="B49" t="s">
        <v>49</v>
      </c>
      <c r="C49" s="23" t="s">
        <v>58</v>
      </c>
      <c r="D49" s="20">
        <f t="shared" ref="D49:G49" si="15">D48+D42</f>
        <v>1.8366</v>
      </c>
      <c r="E49" s="20">
        <f t="shared" si="15"/>
        <v>1.8362000000000001</v>
      </c>
      <c r="F49" s="20">
        <f t="shared" si="15"/>
        <v>1.7087000000000001</v>
      </c>
      <c r="G49" s="20">
        <f t="shared" si="15"/>
        <v>1.7087000000000001</v>
      </c>
      <c r="H49" s="20"/>
      <c r="I49" s="20"/>
    </row>
    <row r="50" spans="1:9" s="6" customFormat="1">
      <c r="A50" s="6" t="s">
        <v>59</v>
      </c>
      <c r="B50" s="6" t="s">
        <v>60</v>
      </c>
      <c r="C50" s="6" t="s">
        <v>61</v>
      </c>
      <c r="D50"/>
      <c r="E50" s="24">
        <v>0.1</v>
      </c>
      <c r="F50" s="24">
        <v>0.1</v>
      </c>
      <c r="G50" s="24">
        <v>0.1</v>
      </c>
      <c r="H50" s="24">
        <v>0.1</v>
      </c>
      <c r="I50" s="24">
        <v>0.1</v>
      </c>
    </row>
    <row r="51" spans="1:9">
      <c r="A51" s="6" t="s">
        <v>59</v>
      </c>
      <c r="B51" t="s">
        <v>62</v>
      </c>
      <c r="C51" t="s">
        <v>63</v>
      </c>
      <c r="E51" s="20">
        <f>ROUND(E38*E39*E50/E41,4)</f>
        <v>1.3855</v>
      </c>
      <c r="F51" s="20">
        <f>ROUND(F38*F39*F50/F41,4)</f>
        <v>1.2695000000000001</v>
      </c>
      <c r="G51" s="20">
        <f>ROUND(G38*G39*G50/G41,4)</f>
        <v>1.2695000000000001</v>
      </c>
      <c r="H51" s="20">
        <f>ROUND(H38*H39*H50/H41,4)</f>
        <v>1.2695000000000001</v>
      </c>
      <c r="I51" s="20">
        <f>ROUND(I38*I39*I50/I41,4)</f>
        <v>1.5376000000000001</v>
      </c>
    </row>
    <row r="52" spans="1:9">
      <c r="A52" s="6" t="s">
        <v>59</v>
      </c>
      <c r="B52" t="s">
        <v>64</v>
      </c>
      <c r="C52" s="23" t="s">
        <v>65</v>
      </c>
      <c r="E52" s="20">
        <f>E51+E42</f>
        <v>1.6977</v>
      </c>
      <c r="F52" s="20">
        <f>F51+F42</f>
        <v>1.5817000000000001</v>
      </c>
      <c r="G52" s="20">
        <f>G51+G42</f>
        <v>1.5817000000000001</v>
      </c>
      <c r="H52" s="20">
        <f>H51+H42</f>
        <v>1.5817000000000001</v>
      </c>
      <c r="I52" s="20">
        <f>I51+I42</f>
        <v>1.8498000000000001</v>
      </c>
    </row>
    <row r="53" spans="1:9">
      <c r="A53" t="s">
        <v>51</v>
      </c>
      <c r="B53" t="s">
        <v>52</v>
      </c>
      <c r="C53" t="s">
        <v>66</v>
      </c>
      <c r="D53" s="52">
        <f t="shared" ref="D53:I53" si="16">ROUND(1.5*D37+D42,4)</f>
        <v>2.7856999999999998</v>
      </c>
      <c r="E53" s="52">
        <f t="shared" si="16"/>
        <v>2.7852999999999999</v>
      </c>
      <c r="F53" s="52">
        <f t="shared" si="16"/>
        <v>2.5783</v>
      </c>
      <c r="G53" s="52">
        <f t="shared" si="16"/>
        <v>2.5783</v>
      </c>
      <c r="H53" s="52">
        <f t="shared" si="16"/>
        <v>2.5261999999999998</v>
      </c>
      <c r="I53" s="52">
        <f t="shared" si="16"/>
        <v>2.9937999999999998</v>
      </c>
    </row>
    <row r="54" spans="1:9">
      <c r="A54" t="s">
        <v>51</v>
      </c>
      <c r="B54" t="s">
        <v>54</v>
      </c>
      <c r="C54" t="s">
        <v>67</v>
      </c>
      <c r="D54" s="52">
        <f t="shared" ref="D54:I54" si="17">ROUND(2*D37+D42,4)</f>
        <v>3.61</v>
      </c>
      <c r="E54" s="52">
        <f t="shared" si="17"/>
        <v>3.6095999999999999</v>
      </c>
      <c r="F54" s="52">
        <f t="shared" si="17"/>
        <v>3.3336000000000001</v>
      </c>
      <c r="G54" s="52">
        <f t="shared" si="17"/>
        <v>3.3336000000000001</v>
      </c>
      <c r="H54" s="52">
        <f t="shared" si="17"/>
        <v>3.2642000000000002</v>
      </c>
      <c r="I54" s="52">
        <f t="shared" si="17"/>
        <v>3.8875999999999999</v>
      </c>
    </row>
    <row r="55" spans="1:9" s="7" customFormat="1" ht="15">
      <c r="A55"/>
    </row>
    <row r="57" spans="1:9" ht="15">
      <c r="A57" t="s">
        <v>2</v>
      </c>
      <c r="C57" s="7" t="s">
        <v>68</v>
      </c>
      <c r="D57" s="84">
        <v>45992</v>
      </c>
      <c r="E57" s="84">
        <v>46023</v>
      </c>
      <c r="F57" s="84">
        <v>46054</v>
      </c>
      <c r="G57" s="84">
        <v>46082</v>
      </c>
      <c r="H57" s="84">
        <v>46113</v>
      </c>
      <c r="I57" s="84">
        <v>46143</v>
      </c>
    </row>
    <row r="58" spans="1:9">
      <c r="A58" t="s">
        <v>4</v>
      </c>
      <c r="B58" t="s">
        <v>5</v>
      </c>
      <c r="C58" t="s">
        <v>35</v>
      </c>
      <c r="D58">
        <f t="shared" ref="D58:G58" si="18">ROUND(D61*D60*D59/D62,4)</f>
        <v>1.7873000000000001</v>
      </c>
      <c r="E58">
        <f t="shared" si="18"/>
        <v>1.7873000000000001</v>
      </c>
      <c r="F58">
        <f t="shared" si="18"/>
        <v>1.6376999999999999</v>
      </c>
      <c r="G58">
        <f t="shared" si="18"/>
        <v>1.6376999999999999</v>
      </c>
    </row>
    <row r="59" spans="1:9">
      <c r="A59" t="s">
        <v>4</v>
      </c>
      <c r="B59" t="s">
        <v>7</v>
      </c>
      <c r="C59" t="s">
        <v>36</v>
      </c>
      <c r="D59">
        <f>Indicadores!Y7</f>
        <v>5.4488000000000003</v>
      </c>
      <c r="E59" s="20">
        <f>Indicadores!Z7</f>
        <v>5.4488000000000003</v>
      </c>
      <c r="F59" s="20">
        <f>Indicadores!AA7</f>
        <v>5.3955000000000002</v>
      </c>
      <c r="G59" s="20">
        <f>Indicadores!AB7</f>
        <v>5.3955000000000002</v>
      </c>
      <c r="H59" s="20"/>
      <c r="I59" s="20"/>
    </row>
    <row r="60" spans="1:9">
      <c r="A60" t="s">
        <v>4</v>
      </c>
      <c r="B60" t="s">
        <v>9</v>
      </c>
      <c r="C60" t="s">
        <v>38</v>
      </c>
      <c r="D60" s="20">
        <f>Indicadores!Y2</f>
        <v>68.165000000000006</v>
      </c>
      <c r="E60" s="20">
        <f>Indicadores!Z2</f>
        <v>68.165000000000006</v>
      </c>
      <c r="F60" s="20">
        <f>Indicadores!AA2</f>
        <v>63.077199999999998</v>
      </c>
      <c r="G60" s="20">
        <f>Indicadores!AB2</f>
        <v>63.077199999999998</v>
      </c>
      <c r="H60" s="20"/>
      <c r="I60" s="20"/>
    </row>
    <row r="61" spans="1:9">
      <c r="A61" t="s">
        <v>4</v>
      </c>
      <c r="B61" t="s">
        <v>11</v>
      </c>
      <c r="C61" t="s">
        <v>12</v>
      </c>
      <c r="D61" s="4">
        <v>0.129</v>
      </c>
      <c r="E61" s="4">
        <v>0.129</v>
      </c>
      <c r="F61" s="4">
        <v>0.129</v>
      </c>
      <c r="G61" s="4">
        <v>0.129</v>
      </c>
      <c r="H61" s="4"/>
      <c r="I61" s="4"/>
    </row>
    <row r="62" spans="1:9">
      <c r="A62" t="s">
        <v>4</v>
      </c>
      <c r="B62" t="s">
        <v>13</v>
      </c>
      <c r="C62" t="s">
        <v>14</v>
      </c>
      <c r="D62">
        <v>26.8081</v>
      </c>
      <c r="E62">
        <v>26.8081</v>
      </c>
      <c r="F62">
        <v>26.8081</v>
      </c>
      <c r="G62">
        <v>26.8081</v>
      </c>
    </row>
    <row r="63" spans="1:9">
      <c r="A63" t="s">
        <v>4</v>
      </c>
      <c r="B63" t="s">
        <v>15</v>
      </c>
      <c r="C63" t="s">
        <v>16</v>
      </c>
      <c r="D63">
        <f t="shared" ref="D63:G63" si="19">ROUND(D66*D64/D65,4)</f>
        <v>0.41210000000000002</v>
      </c>
      <c r="E63">
        <f t="shared" si="19"/>
        <v>0.41210000000000002</v>
      </c>
      <c r="F63">
        <f t="shared" si="19"/>
        <v>0.41210000000000002</v>
      </c>
      <c r="G63">
        <f t="shared" si="19"/>
        <v>0.41210000000000002</v>
      </c>
    </row>
    <row r="64" spans="1:9">
      <c r="A64" t="s">
        <v>4</v>
      </c>
      <c r="B64" t="s">
        <v>39</v>
      </c>
      <c r="C64" t="s">
        <v>40</v>
      </c>
      <c r="D64" s="25">
        <f>Indicadores!$P$11</f>
        <v>1209.432</v>
      </c>
      <c r="E64" s="25">
        <f>Indicadores!$P$11</f>
        <v>1209.432</v>
      </c>
      <c r="F64" s="25">
        <f>Indicadores!$P$11</f>
        <v>1209.432</v>
      </c>
      <c r="G64" s="25">
        <f>Indicadores!$P$11</f>
        <v>1209.432</v>
      </c>
      <c r="H64" s="25"/>
      <c r="I64" s="25"/>
    </row>
    <row r="65" spans="1:9">
      <c r="A65" t="s">
        <v>4</v>
      </c>
      <c r="B65" t="s">
        <v>41</v>
      </c>
      <c r="C65" t="s">
        <v>41</v>
      </c>
      <c r="D65" s="25">
        <v>771.90800000000002</v>
      </c>
      <c r="E65" s="25">
        <v>771.90800000000002</v>
      </c>
      <c r="F65" s="25">
        <v>771.90800000000002</v>
      </c>
      <c r="G65" s="25">
        <v>771.90800000000002</v>
      </c>
      <c r="H65" s="25"/>
      <c r="I65" s="25"/>
    </row>
    <row r="66" spans="1:9">
      <c r="A66" t="s">
        <v>4</v>
      </c>
      <c r="B66" t="s">
        <v>42</v>
      </c>
      <c r="C66" t="s">
        <v>42</v>
      </c>
      <c r="D66" s="20">
        <v>0.26300000000000001</v>
      </c>
      <c r="E66" s="20">
        <v>0.26300000000000001</v>
      </c>
      <c r="F66" s="20">
        <v>0.26300000000000001</v>
      </c>
      <c r="G66" s="20">
        <v>0.26300000000000001</v>
      </c>
      <c r="H66" s="20"/>
      <c r="I66" s="20"/>
    </row>
    <row r="67" spans="1:9">
      <c r="A67" t="s">
        <v>4</v>
      </c>
      <c r="B67" t="s">
        <v>25</v>
      </c>
      <c r="C67" t="s">
        <v>69</v>
      </c>
      <c r="D67" s="20">
        <f t="shared" ref="D67:G67" si="20">SUM(D58,D63)</f>
        <v>2.1994000000000002</v>
      </c>
      <c r="E67" s="20">
        <f t="shared" si="20"/>
        <v>2.1994000000000002</v>
      </c>
      <c r="F67" s="20">
        <f t="shared" si="20"/>
        <v>2.0497999999999998</v>
      </c>
      <c r="G67" s="20">
        <f t="shared" si="20"/>
        <v>2.0497999999999998</v>
      </c>
      <c r="H67" s="20"/>
      <c r="I67" s="20"/>
    </row>
    <row r="68" spans="1:9" s="6" customFormat="1">
      <c r="A68" s="6" t="s">
        <v>44</v>
      </c>
      <c r="B68" s="6" t="s">
        <v>45</v>
      </c>
      <c r="C68" s="6" t="s">
        <v>46</v>
      </c>
      <c r="D68" s="24">
        <v>0.11</v>
      </c>
      <c r="E68" s="24">
        <v>0.11</v>
      </c>
      <c r="F68" s="24">
        <v>0.11</v>
      </c>
      <c r="G68" s="24">
        <v>0.11</v>
      </c>
      <c r="H68" s="24"/>
      <c r="I68" s="24"/>
    </row>
    <row r="69" spans="1:9">
      <c r="A69" t="s">
        <v>44</v>
      </c>
      <c r="B69" t="s">
        <v>47</v>
      </c>
      <c r="C69" t="s">
        <v>48</v>
      </c>
      <c r="D69" s="20">
        <f t="shared" ref="D69:G69" si="21">ROUND(D59*D60*D68/D62,4)</f>
        <v>1.524</v>
      </c>
      <c r="E69" s="20">
        <f t="shared" si="21"/>
        <v>1.524</v>
      </c>
      <c r="F69" s="20">
        <f t="shared" si="21"/>
        <v>1.3965000000000001</v>
      </c>
      <c r="G69" s="20">
        <f t="shared" si="21"/>
        <v>1.3965000000000001</v>
      </c>
      <c r="H69" s="20"/>
      <c r="I69" s="20"/>
    </row>
    <row r="70" spans="1:9">
      <c r="A70" t="s">
        <v>44</v>
      </c>
      <c r="B70" t="s">
        <v>49</v>
      </c>
      <c r="C70" s="23" t="s">
        <v>70</v>
      </c>
      <c r="D70" s="20">
        <f t="shared" ref="D70:G70" si="22">D69+D63</f>
        <v>1.9361000000000002</v>
      </c>
      <c r="E70" s="20">
        <f t="shared" si="22"/>
        <v>1.9361000000000002</v>
      </c>
      <c r="F70" s="20">
        <f t="shared" si="22"/>
        <v>1.8086000000000002</v>
      </c>
      <c r="G70" s="20">
        <f t="shared" si="22"/>
        <v>1.8086000000000002</v>
      </c>
      <c r="H70" s="20"/>
      <c r="I70" s="20"/>
    </row>
    <row r="71" spans="1:9" s="6" customFormat="1">
      <c r="A71" s="6" t="s">
        <v>59</v>
      </c>
      <c r="B71" s="6" t="s">
        <v>60</v>
      </c>
      <c r="C71" s="6" t="s">
        <v>61</v>
      </c>
      <c r="D71"/>
      <c r="E71" s="24">
        <v>0.1</v>
      </c>
      <c r="F71" s="24">
        <v>0.1</v>
      </c>
      <c r="G71" s="24">
        <v>0.1</v>
      </c>
      <c r="H71" s="24"/>
      <c r="I71" s="24"/>
    </row>
    <row r="72" spans="1:9">
      <c r="A72" s="6" t="s">
        <v>59</v>
      </c>
      <c r="B72" t="s">
        <v>62</v>
      </c>
      <c r="C72" t="s">
        <v>63</v>
      </c>
      <c r="E72" s="20">
        <f>ROUND(E59*E60*E71/E62,4)</f>
        <v>1.3855</v>
      </c>
      <c r="F72" s="20">
        <f>ROUND(F59*F60*F71/F62,4)</f>
        <v>1.2695000000000001</v>
      </c>
      <c r="G72" s="20">
        <f>ROUND(G59*G60*G71/G62,4)</f>
        <v>1.2695000000000001</v>
      </c>
      <c r="H72" s="20"/>
      <c r="I72" s="20"/>
    </row>
    <row r="73" spans="1:9">
      <c r="A73" s="6" t="s">
        <v>59</v>
      </c>
      <c r="B73" t="s">
        <v>64</v>
      </c>
      <c r="C73" s="23" t="s">
        <v>71</v>
      </c>
      <c r="E73" s="20">
        <f>E72+E63</f>
        <v>1.7976000000000001</v>
      </c>
      <c r="F73" s="20">
        <f>F72+F63</f>
        <v>1.6816</v>
      </c>
      <c r="G73" s="20">
        <f>G72+G63</f>
        <v>1.6816</v>
      </c>
      <c r="H73" s="20"/>
      <c r="I73" s="20"/>
    </row>
    <row r="74" spans="1:9">
      <c r="A74" t="s">
        <v>51</v>
      </c>
      <c r="B74" t="s">
        <v>52</v>
      </c>
      <c r="C74" t="s">
        <v>72</v>
      </c>
      <c r="D74" s="52">
        <f t="shared" ref="D74:G74" si="23">ROUND(1.5*D58+D63,4)</f>
        <v>3.0931000000000002</v>
      </c>
      <c r="E74" s="52">
        <f t="shared" si="23"/>
        <v>3.0931000000000002</v>
      </c>
      <c r="F74" s="52">
        <f t="shared" si="23"/>
        <v>2.8687</v>
      </c>
      <c r="G74" s="52">
        <f t="shared" si="23"/>
        <v>2.8687</v>
      </c>
      <c r="H74" s="52"/>
      <c r="I74" s="52"/>
    </row>
    <row r="75" spans="1:9">
      <c r="A75" t="s">
        <v>51</v>
      </c>
      <c r="B75" t="s">
        <v>54</v>
      </c>
      <c r="C75" t="s">
        <v>73</v>
      </c>
      <c r="D75" s="52">
        <f t="shared" ref="D75:G75" si="24">ROUND(2*D58+D63,4)</f>
        <v>3.9866999999999999</v>
      </c>
      <c r="E75" s="52">
        <f t="shared" si="24"/>
        <v>3.9866999999999999</v>
      </c>
      <c r="F75" s="52">
        <f t="shared" si="24"/>
        <v>3.6875</v>
      </c>
      <c r="G75" s="52">
        <f t="shared" si="24"/>
        <v>3.6875</v>
      </c>
      <c r="H75" s="52"/>
      <c r="I75" s="52"/>
    </row>
    <row r="76" spans="1:9" s="7" customFormat="1" ht="15">
      <c r="A76"/>
    </row>
    <row r="78" spans="1:9" ht="15">
      <c r="A78" t="s">
        <v>2</v>
      </c>
      <c r="C78" s="7" t="s">
        <v>74</v>
      </c>
      <c r="D78" s="84">
        <v>45992</v>
      </c>
      <c r="E78" s="84">
        <v>46023</v>
      </c>
      <c r="F78" s="84">
        <v>46054</v>
      </c>
      <c r="G78" s="84">
        <v>46082</v>
      </c>
      <c r="H78" s="84">
        <v>46113</v>
      </c>
      <c r="I78" s="84">
        <v>46143</v>
      </c>
    </row>
    <row r="79" spans="1:9">
      <c r="A79" t="s">
        <v>4</v>
      </c>
      <c r="B79" t="s">
        <v>5</v>
      </c>
      <c r="C79" t="s">
        <v>35</v>
      </c>
      <c r="E79" s="20">
        <f>ROUND(E82*E81*E80/E83,4)</f>
        <v>1.621</v>
      </c>
      <c r="F79" s="20">
        <f>ROUND(F82*F81*F80/F83,4)</f>
        <v>1.4853000000000001</v>
      </c>
      <c r="G79" s="20">
        <f>ROUND(G82*G81*G80/G83,4)</f>
        <v>1.4853000000000001</v>
      </c>
    </row>
    <row r="80" spans="1:9">
      <c r="A80" t="s">
        <v>4</v>
      </c>
      <c r="B80" t="s">
        <v>7</v>
      </c>
      <c r="C80" t="s">
        <v>36</v>
      </c>
      <c r="E80">
        <f>Indicadores!Z7</f>
        <v>5.4488000000000003</v>
      </c>
      <c r="F80">
        <f>Indicadores!AA7</f>
        <v>5.3955000000000002</v>
      </c>
      <c r="G80">
        <f>Indicadores!AB7</f>
        <v>5.3955000000000002</v>
      </c>
    </row>
    <row r="81" spans="1:9">
      <c r="A81" t="s">
        <v>4</v>
      </c>
      <c r="B81" t="s">
        <v>9</v>
      </c>
      <c r="C81" t="s">
        <v>38</v>
      </c>
      <c r="E81" s="20">
        <f>Indicadores!Z2</f>
        <v>68.165000000000006</v>
      </c>
      <c r="F81" s="20">
        <f>Indicadores!AA2</f>
        <v>63.077199999999998</v>
      </c>
      <c r="G81" s="20">
        <f>Indicadores!AB2</f>
        <v>63.077199999999998</v>
      </c>
    </row>
    <row r="82" spans="1:9">
      <c r="A82" t="s">
        <v>4</v>
      </c>
      <c r="B82" t="s">
        <v>11</v>
      </c>
      <c r="C82" t="s">
        <v>12</v>
      </c>
      <c r="E82" s="4">
        <v>0.11700000000000001</v>
      </c>
      <c r="F82" s="4">
        <v>0.11700000000000001</v>
      </c>
      <c r="G82" s="4">
        <v>0.11700000000000001</v>
      </c>
    </row>
    <row r="83" spans="1:9">
      <c r="A83" t="s">
        <v>4</v>
      </c>
      <c r="B83" t="s">
        <v>13</v>
      </c>
      <c r="C83" t="s">
        <v>14</v>
      </c>
      <c r="E83">
        <v>26.8081</v>
      </c>
      <c r="F83">
        <v>26.8081</v>
      </c>
      <c r="G83">
        <v>26.8081</v>
      </c>
    </row>
    <row r="84" spans="1:9">
      <c r="A84" t="s">
        <v>4</v>
      </c>
      <c r="B84" t="s">
        <v>15</v>
      </c>
      <c r="C84" t="s">
        <v>16</v>
      </c>
      <c r="E84">
        <f>ROUND(E87*E85/E86,4)</f>
        <v>0.31219999999999998</v>
      </c>
      <c r="F84">
        <f>ROUND(F87*F85/F86,4)</f>
        <v>0.31219999999999998</v>
      </c>
      <c r="G84">
        <f>ROUND(G87*G85/G86,4)</f>
        <v>0.31219999999999998</v>
      </c>
    </row>
    <row r="85" spans="1:9">
      <c r="A85" t="s">
        <v>4</v>
      </c>
      <c r="B85" t="s">
        <v>39</v>
      </c>
      <c r="C85" t="s">
        <v>40</v>
      </c>
      <c r="E85" s="25">
        <f>Indicadores!$X$11</f>
        <v>1185.175</v>
      </c>
      <c r="F85" s="25">
        <f>Indicadores!$X$11</f>
        <v>1185.175</v>
      </c>
      <c r="G85" s="25">
        <f>Indicadores!$X$11</f>
        <v>1185.175</v>
      </c>
    </row>
    <row r="86" spans="1:9">
      <c r="A86" t="s">
        <v>4</v>
      </c>
      <c r="B86" t="s">
        <v>41</v>
      </c>
      <c r="C86" t="s">
        <v>41</v>
      </c>
      <c r="E86" s="25">
        <v>1155.829</v>
      </c>
      <c r="F86" s="25">
        <v>1155.829</v>
      </c>
      <c r="G86" s="25">
        <v>1155.829</v>
      </c>
    </row>
    <row r="87" spans="1:9">
      <c r="A87" t="s">
        <v>4</v>
      </c>
      <c r="B87" t="s">
        <v>42</v>
      </c>
      <c r="C87" t="s">
        <v>42</v>
      </c>
      <c r="E87" s="20">
        <v>0.30449999999999999</v>
      </c>
      <c r="F87" s="20">
        <v>0.30449999999999999</v>
      </c>
      <c r="G87" s="20">
        <v>0.30449999999999999</v>
      </c>
    </row>
    <row r="88" spans="1:9">
      <c r="A88" t="s">
        <v>4</v>
      </c>
      <c r="B88" t="s">
        <v>25</v>
      </c>
      <c r="C88" t="s">
        <v>75</v>
      </c>
      <c r="E88" s="20">
        <f>SUM(E79,E84)</f>
        <v>1.9332</v>
      </c>
      <c r="F88" s="20">
        <f>SUM(F79,F84)</f>
        <v>1.7975000000000001</v>
      </c>
      <c r="G88" s="20">
        <f>SUM(G79,G84)</f>
        <v>1.7975000000000001</v>
      </c>
    </row>
    <row r="89" spans="1:9" s="6" customFormat="1">
      <c r="A89" s="6" t="s">
        <v>59</v>
      </c>
      <c r="B89" s="6" t="s">
        <v>45</v>
      </c>
      <c r="C89" s="6" t="s">
        <v>61</v>
      </c>
      <c r="D89"/>
      <c r="E89" s="24">
        <v>0.1</v>
      </c>
      <c r="F89" s="24">
        <v>0.1</v>
      </c>
      <c r="G89" s="24">
        <v>0.1</v>
      </c>
    </row>
    <row r="90" spans="1:9">
      <c r="A90" s="6" t="s">
        <v>59</v>
      </c>
      <c r="B90" t="s">
        <v>47</v>
      </c>
      <c r="C90" t="s">
        <v>63</v>
      </c>
      <c r="E90" s="20">
        <f>ROUND(E80*E81*E89/E83,4)</f>
        <v>1.3855</v>
      </c>
      <c r="F90" s="20">
        <f>ROUND(F80*F81*F89/F83,4)</f>
        <v>1.2695000000000001</v>
      </c>
      <c r="G90" s="20">
        <f>ROUND(G80*G81*G89/G83,4)</f>
        <v>1.2695000000000001</v>
      </c>
    </row>
    <row r="91" spans="1:9">
      <c r="A91" s="6" t="s">
        <v>59</v>
      </c>
      <c r="B91" t="s">
        <v>49</v>
      </c>
      <c r="C91" s="23" t="s">
        <v>76</v>
      </c>
      <c r="E91" s="20">
        <f>E90+E84</f>
        <v>1.6977</v>
      </c>
      <c r="F91" s="20">
        <f>F90+F84</f>
        <v>1.5817000000000001</v>
      </c>
      <c r="G91" s="20">
        <f>G90+G84</f>
        <v>1.5817000000000001</v>
      </c>
    </row>
    <row r="92" spans="1:9">
      <c r="A92" t="s">
        <v>51</v>
      </c>
      <c r="B92" t="s">
        <v>52</v>
      </c>
      <c r="C92" t="s">
        <v>77</v>
      </c>
      <c r="E92" s="52">
        <f>ROUND(1.5*E79+E84,4)</f>
        <v>2.7437</v>
      </c>
      <c r="F92" s="52">
        <f>ROUND(1.5*F79+F84,4)</f>
        <v>2.5402</v>
      </c>
      <c r="G92" s="52">
        <f>ROUND(1.5*G79+G84,4)</f>
        <v>2.5402</v>
      </c>
    </row>
    <row r="93" spans="1:9">
      <c r="A93" t="s">
        <v>51</v>
      </c>
      <c r="B93" t="s">
        <v>54</v>
      </c>
      <c r="C93" t="s">
        <v>78</v>
      </c>
      <c r="E93" s="52">
        <f>ROUND(2*E79+E84,4)</f>
        <v>3.5541999999999998</v>
      </c>
      <c r="F93" s="52">
        <f>ROUND(2*F79+F84,4)</f>
        <v>3.2827999999999999</v>
      </c>
      <c r="G93" s="52">
        <f>ROUND(2*G79+G84,4)</f>
        <v>3.2827999999999999</v>
      </c>
    </row>
    <row r="94" spans="1:9" s="7" customFormat="1" ht="15">
      <c r="A94"/>
    </row>
    <row r="96" spans="1:9" ht="15">
      <c r="A96" t="s">
        <v>2</v>
      </c>
      <c r="C96" s="7" t="s">
        <v>79</v>
      </c>
      <c r="D96" s="84">
        <v>45992</v>
      </c>
      <c r="E96" s="84">
        <v>46023</v>
      </c>
      <c r="F96" s="84">
        <v>46054</v>
      </c>
      <c r="G96" s="84">
        <v>46082</v>
      </c>
      <c r="H96" s="84">
        <v>46113</v>
      </c>
      <c r="I96" s="84">
        <v>46143</v>
      </c>
    </row>
    <row r="97" spans="1:9">
      <c r="A97" t="s">
        <v>4</v>
      </c>
      <c r="B97" t="s">
        <v>80</v>
      </c>
      <c r="C97" t="s">
        <v>81</v>
      </c>
      <c r="D97" s="20">
        <v>2.339</v>
      </c>
      <c r="E97" s="20">
        <f>ROUND(2.15*(1+$D$99),3)</f>
        <v>2.3140000000000001</v>
      </c>
      <c r="F97" s="20">
        <f>ROUND(2.15*(1+$D$99),3)</f>
        <v>2.3140000000000001</v>
      </c>
      <c r="G97" s="20">
        <f>ROUND(2.15*(1+$D$99),3)</f>
        <v>2.3140000000000001</v>
      </c>
      <c r="H97" s="20">
        <f>ROUND(2.15*(1+$D$99),3)</f>
        <v>2.3140000000000001</v>
      </c>
      <c r="I97" s="20">
        <f>ROUND(2.15*(1+$D$99),3)</f>
        <v>2.3140000000000001</v>
      </c>
    </row>
    <row r="98" spans="1:9">
      <c r="A98" t="s">
        <v>4</v>
      </c>
      <c r="B98" t="s">
        <v>82</v>
      </c>
      <c r="C98" t="s">
        <v>83</v>
      </c>
      <c r="D98" s="20">
        <v>0.14099999999999999</v>
      </c>
      <c r="E98" s="20">
        <f>ROUND(0.13*(1+$D99),3)</f>
        <v>0.14000000000000001</v>
      </c>
      <c r="F98" s="20">
        <f>ROUND(0.13*(1+$D99),3)</f>
        <v>0.14000000000000001</v>
      </c>
      <c r="G98" s="20">
        <f>ROUND(0.13*(1+$D99),3)</f>
        <v>0.14000000000000001</v>
      </c>
      <c r="H98" s="20">
        <f>ROUND(0.13*(1+$D99),3)</f>
        <v>0.14000000000000001</v>
      </c>
      <c r="I98" s="20">
        <f>ROUND(0.13*(1+$D99),3)</f>
        <v>0.14000000000000001</v>
      </c>
    </row>
    <row r="99" spans="1:9">
      <c r="A99" t="s">
        <v>4</v>
      </c>
      <c r="B99" t="s">
        <v>84</v>
      </c>
      <c r="C99" t="s">
        <v>85</v>
      </c>
      <c r="D99" s="49">
        <f>Indicadores!$Y$11/1100.988-1</f>
        <v>7.6304192234611046E-2</v>
      </c>
      <c r="E99" s="20"/>
      <c r="F99" s="20"/>
      <c r="G99" s="20"/>
      <c r="H99" s="20"/>
      <c r="I99" s="20"/>
    </row>
    <row r="100" spans="1:9">
      <c r="A100" t="s">
        <v>4</v>
      </c>
      <c r="B100" t="s">
        <v>25</v>
      </c>
      <c r="C100" t="s">
        <v>86</v>
      </c>
      <c r="D100" s="20">
        <f t="shared" ref="D100" si="25">SUM(D97:D98)</f>
        <v>2.48</v>
      </c>
      <c r="E100" s="20">
        <f>ROUND((2.15+0.13)*(1+$D$99),3)</f>
        <v>2.4540000000000002</v>
      </c>
      <c r="F100" s="20">
        <f>ROUND((2.15+0.13)*(1+$D$99),3)</f>
        <v>2.4540000000000002</v>
      </c>
      <c r="G100" s="20">
        <f>ROUND((2.15+0.13)*(1+$D$99),3)</f>
        <v>2.4540000000000002</v>
      </c>
      <c r="H100" s="20">
        <f>ROUND((2.15+0.13)*(1+$D$99),3)</f>
        <v>2.4540000000000002</v>
      </c>
      <c r="I100" s="20">
        <f>ROUND((2.15+0.13)*(1+$D$99),3)</f>
        <v>2.4540000000000002</v>
      </c>
    </row>
    <row r="101" spans="1:9">
      <c r="A101" t="s">
        <v>51</v>
      </c>
      <c r="B101" t="s">
        <v>28</v>
      </c>
      <c r="C101" t="s">
        <v>87</v>
      </c>
      <c r="E101" s="49"/>
    </row>
    <row r="103" spans="1:9" ht="15">
      <c r="A103" t="s">
        <v>2</v>
      </c>
      <c r="C103" s="7" t="s">
        <v>88</v>
      </c>
      <c r="D103" s="84">
        <v>45992</v>
      </c>
      <c r="E103" s="84">
        <v>46023</v>
      </c>
      <c r="F103" s="84">
        <v>46054</v>
      </c>
      <c r="G103" s="84">
        <v>46082</v>
      </c>
      <c r="H103" s="84">
        <v>46113</v>
      </c>
      <c r="I103" s="84">
        <v>46143</v>
      </c>
    </row>
    <row r="104" spans="1:9">
      <c r="A104" t="s">
        <v>4</v>
      </c>
      <c r="B104" t="s">
        <v>80</v>
      </c>
      <c r="C104" t="s">
        <v>81</v>
      </c>
      <c r="D104" s="20">
        <v>2.875</v>
      </c>
      <c r="E104" s="20">
        <v>2.875</v>
      </c>
      <c r="F104" s="20">
        <v>2.875</v>
      </c>
      <c r="G104" s="20">
        <v>2.875</v>
      </c>
      <c r="H104" s="20">
        <v>2.875</v>
      </c>
      <c r="I104" s="20">
        <f>ROUND((1+$H$106)*2.65,3)</f>
        <v>2.8929999999999998</v>
      </c>
    </row>
    <row r="105" spans="1:9">
      <c r="A105" t="s">
        <v>4</v>
      </c>
      <c r="B105" t="s">
        <v>82</v>
      </c>
      <c r="C105" t="s">
        <v>83</v>
      </c>
      <c r="D105" s="20">
        <v>0.14099999999999999</v>
      </c>
      <c r="E105" s="20">
        <v>0.14099999999999999</v>
      </c>
      <c r="F105" s="20">
        <v>0.14099999999999999</v>
      </c>
      <c r="G105" s="20">
        <v>0.14099999999999999</v>
      </c>
      <c r="H105" s="20">
        <v>0.14099999999999999</v>
      </c>
      <c r="I105" s="20">
        <f>ROUND((1+$H$106)*0.13,3)</f>
        <v>0.14199999999999999</v>
      </c>
    </row>
    <row r="106" spans="1:9">
      <c r="A106" t="s">
        <v>4</v>
      </c>
      <c r="B106" t="s">
        <v>84</v>
      </c>
      <c r="C106" t="s">
        <v>85</v>
      </c>
      <c r="D106" s="20"/>
      <c r="E106" s="20"/>
      <c r="F106" s="20"/>
      <c r="G106" s="20"/>
      <c r="H106" s="49">
        <f>Indicadores!$AC$11/1117.28-1</f>
        <v>9.1649362738078333E-2</v>
      </c>
    </row>
    <row r="107" spans="1:9">
      <c r="A107" t="s">
        <v>4</v>
      </c>
      <c r="B107" t="s">
        <v>25</v>
      </c>
      <c r="C107" t="s">
        <v>86</v>
      </c>
      <c r="D107" s="20">
        <f t="shared" ref="D107:E107" si="26">SUM(D104:D105)</f>
        <v>3.016</v>
      </c>
      <c r="E107" s="20">
        <f t="shared" si="26"/>
        <v>3.016</v>
      </c>
      <c r="F107" s="20">
        <f>SUM(F104:F105)</f>
        <v>3.016</v>
      </c>
      <c r="G107" s="20">
        <f>SUM(G104:G105)</f>
        <v>3.016</v>
      </c>
      <c r="H107" s="20">
        <f>SUM(H104:H105)</f>
        <v>3.016</v>
      </c>
      <c r="I107" s="20">
        <f>SUM(I104:I105)</f>
        <v>3.0349999999999997</v>
      </c>
    </row>
    <row r="108" spans="1:9">
      <c r="A108" t="s">
        <v>51</v>
      </c>
      <c r="B108" t="s">
        <v>28</v>
      </c>
      <c r="C108" t="s">
        <v>87</v>
      </c>
    </row>
    <row r="110" spans="1:9" ht="15">
      <c r="C110" s="7"/>
    </row>
  </sheetData>
  <pageMargins left="0.7" right="0.7" top="0.75" bottom="0.75" header="0.3" footer="0.3"/>
  <pageSetup paperSize="9" orientation="portrait" r:id="rId1"/>
  <headerFooter>
    <oddHeader>&amp;L&amp;"Calibri"&amp;10&amp;K000000 Interno&amp;1#_x000D_</oddHeader>
    <oddFooter>&amp;L_x000D_&amp;1#&amp;"Calibri"&amp;10&amp;K000000 Interno</oddFooter>
  </headerFooter>
  <ignoredErrors>
    <ignoredError sqref="E100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79998168889431442"/>
  </sheetPr>
  <dimension ref="A1:H102"/>
  <sheetViews>
    <sheetView workbookViewId="0">
      <pane xSplit="2" ySplit="1" topLeftCell="C86" activePane="bottomRight" state="frozen"/>
      <selection pane="topRight" activeCell="D1" sqref="D1"/>
      <selection pane="bottomLeft" activeCell="A2" sqref="A2"/>
      <selection pane="bottomRight" activeCell="C98" sqref="C98"/>
    </sheetView>
  </sheetViews>
  <sheetFormatPr defaultRowHeight="14.25"/>
  <cols>
    <col min="1" max="1" width="19.625" style="6" customWidth="1"/>
    <col min="2" max="2" width="38.375" style="6" bestFit="1" customWidth="1"/>
    <col min="3" max="5" width="11.875" customWidth="1"/>
    <col min="6" max="6" width="11" customWidth="1"/>
    <col min="7" max="7" width="10.875" customWidth="1"/>
    <col min="8" max="8" width="9.875" bestFit="1" customWidth="1"/>
  </cols>
  <sheetData>
    <row r="1" spans="1:8" ht="30">
      <c r="B1" s="8" t="s">
        <v>293</v>
      </c>
      <c r="C1" s="84">
        <v>46174</v>
      </c>
      <c r="D1" s="84">
        <v>46204</v>
      </c>
      <c r="E1" s="84">
        <v>46235</v>
      </c>
      <c r="F1" s="84">
        <v>46266</v>
      </c>
      <c r="G1" s="84">
        <v>46296</v>
      </c>
      <c r="H1" s="84">
        <v>46327</v>
      </c>
    </row>
    <row r="2" spans="1:8" ht="15">
      <c r="A2" s="8" t="s">
        <v>294</v>
      </c>
      <c r="B2" s="8" t="s">
        <v>3</v>
      </c>
      <c r="C2" s="58"/>
      <c r="D2" s="58"/>
      <c r="E2" s="58"/>
      <c r="F2" s="58"/>
    </row>
    <row r="3" spans="1:8">
      <c r="A3" s="6" t="s">
        <v>295</v>
      </c>
      <c r="B3" s="6" t="s">
        <v>296</v>
      </c>
      <c r="C3" s="2">
        <f t="shared" ref="C3:H3" si="0">C4/C$94</f>
        <v>8.8235294117647065E-2</v>
      </c>
      <c r="D3" s="2">
        <f t="shared" si="0"/>
        <v>8.8235294117647065E-2</v>
      </c>
      <c r="E3" s="2">
        <f t="shared" si="0"/>
        <v>8.8235294117647065E-2</v>
      </c>
      <c r="F3" s="2">
        <f t="shared" si="0"/>
        <v>8.8235294117647065E-2</v>
      </c>
      <c r="G3" s="2">
        <f t="shared" si="0"/>
        <v>8.8235294117647065E-2</v>
      </c>
      <c r="H3" s="2">
        <f t="shared" si="0"/>
        <v>8.8235294117647065E-2</v>
      </c>
    </row>
    <row r="4" spans="1:8">
      <c r="A4" s="6" t="s">
        <v>297</v>
      </c>
      <c r="B4" s="6" t="s">
        <v>298</v>
      </c>
      <c r="C4" s="3">
        <v>1440000</v>
      </c>
      <c r="D4" s="3">
        <f>48000*31</f>
        <v>1488000</v>
      </c>
      <c r="E4" s="3">
        <f>48000*31</f>
        <v>1488000</v>
      </c>
      <c r="F4" s="3">
        <f>48000*30</f>
        <v>1440000</v>
      </c>
      <c r="G4" s="3">
        <f>48000*31</f>
        <v>1488000</v>
      </c>
      <c r="H4" s="3">
        <f>48000*30</f>
        <v>1440000</v>
      </c>
    </row>
    <row r="5" spans="1:8" ht="15">
      <c r="A5" s="8" t="s">
        <v>299</v>
      </c>
      <c r="B5" s="8" t="s">
        <v>300</v>
      </c>
      <c r="C5" s="48">
        <f t="shared" ref="C5:H5" si="1">ROUND(C8*C7*C6/C9,4)</f>
        <v>1.9374</v>
      </c>
      <c r="D5" s="48">
        <f t="shared" si="1"/>
        <v>1.9374</v>
      </c>
      <c r="E5" s="48">
        <f t="shared" si="1"/>
        <v>2.4369999999999998</v>
      </c>
      <c r="F5" s="48">
        <f t="shared" si="1"/>
        <v>2.4369999999999998</v>
      </c>
      <c r="G5" s="48">
        <f t="shared" si="1"/>
        <v>2.4369999999999998</v>
      </c>
      <c r="H5" s="48">
        <f t="shared" si="1"/>
        <v>2.3837999999999999</v>
      </c>
    </row>
    <row r="6" spans="1:8" ht="28.5">
      <c r="A6" s="6" t="s">
        <v>301</v>
      </c>
      <c r="B6" s="6" t="s">
        <v>302</v>
      </c>
      <c r="C6" s="20">
        <f>Indicadores!AE7</f>
        <v>5.2591000000000001</v>
      </c>
      <c r="D6" s="20">
        <f>Indicadores!AF7</f>
        <v>5.2591000000000001</v>
      </c>
      <c r="E6" s="20">
        <f>Indicadores!AG8</f>
        <v>4.9988000000000001</v>
      </c>
      <c r="F6" s="20">
        <f>Indicadores!AH8</f>
        <v>4.9988000000000001</v>
      </c>
      <c r="G6" s="20">
        <f>Indicadores!AI8</f>
        <v>4.9988000000000001</v>
      </c>
      <c r="H6" s="20">
        <f>Indicadores!AJ8</f>
        <v>5.0217000000000001</v>
      </c>
    </row>
    <row r="7" spans="1:8">
      <c r="A7" s="6" t="s">
        <v>303</v>
      </c>
      <c r="B7" s="6" t="s">
        <v>304</v>
      </c>
      <c r="C7" s="20">
        <f>Indicadores!AE2</f>
        <v>78.378100000000003</v>
      </c>
      <c r="D7" s="20">
        <f>Indicadores!AF2</f>
        <v>78.378100000000003</v>
      </c>
      <c r="E7" s="20">
        <f>Indicadores!AG4</f>
        <v>103.7259</v>
      </c>
      <c r="F7" s="20">
        <f>Indicadores!AH4</f>
        <v>103.7259</v>
      </c>
      <c r="G7" s="20">
        <f>Indicadores!AI4</f>
        <v>103.7259</v>
      </c>
      <c r="H7" s="20">
        <f>Indicadores!AJ4</f>
        <v>101</v>
      </c>
    </row>
    <row r="8" spans="1:8">
      <c r="A8" s="6" t="s">
        <v>11</v>
      </c>
      <c r="B8" s="6" t="s">
        <v>12</v>
      </c>
      <c r="C8" s="4">
        <v>0.126</v>
      </c>
      <c r="D8" s="4">
        <v>0.126</v>
      </c>
      <c r="E8" s="4">
        <v>0.126</v>
      </c>
      <c r="F8" s="4">
        <v>0.126</v>
      </c>
      <c r="G8" s="4">
        <v>0.126</v>
      </c>
      <c r="H8" s="4">
        <v>0.126</v>
      </c>
    </row>
    <row r="9" spans="1:8">
      <c r="A9" s="6" t="s">
        <v>13</v>
      </c>
      <c r="B9" s="6" t="s">
        <v>14</v>
      </c>
      <c r="C9">
        <v>26.8081</v>
      </c>
      <c r="D9">
        <v>26.8081</v>
      </c>
      <c r="E9">
        <v>26.8081</v>
      </c>
      <c r="F9">
        <v>26.8081</v>
      </c>
      <c r="G9">
        <v>26.8081</v>
      </c>
      <c r="H9">
        <v>26.8081</v>
      </c>
    </row>
    <row r="10" spans="1:8" ht="30">
      <c r="A10" s="8" t="s">
        <v>305</v>
      </c>
      <c r="B10" s="8" t="s">
        <v>306</v>
      </c>
      <c r="C10" s="48">
        <f t="shared" ref="C10:H10" si="2">ROUND((C11+C12+C13)/C9,4)</f>
        <v>0.2492</v>
      </c>
      <c r="D10" s="48">
        <f t="shared" si="2"/>
        <v>0.2492</v>
      </c>
      <c r="E10" s="48">
        <f t="shared" si="2"/>
        <v>0.2492</v>
      </c>
      <c r="F10" s="48">
        <f t="shared" si="2"/>
        <v>0.2492</v>
      </c>
      <c r="G10" s="48">
        <f t="shared" si="2"/>
        <v>0.2492</v>
      </c>
      <c r="H10" s="48">
        <f t="shared" si="2"/>
        <v>0.2492</v>
      </c>
    </row>
    <row r="11" spans="1:8" ht="28.5">
      <c r="A11" s="6" t="s">
        <v>307</v>
      </c>
      <c r="B11" s="6" t="s">
        <v>308</v>
      </c>
      <c r="C11" s="20">
        <v>6.1437999999999997</v>
      </c>
      <c r="D11" s="20">
        <v>6.1437999999999997</v>
      </c>
      <c r="E11" s="20">
        <v>6.1437999999999997</v>
      </c>
      <c r="F11" s="20">
        <v>6.1437999999999997</v>
      </c>
      <c r="G11" s="20">
        <v>6.1437999999999997</v>
      </c>
      <c r="H11" s="20">
        <v>6.1437999999999997</v>
      </c>
    </row>
    <row r="12" spans="1:8">
      <c r="A12" s="6" t="s">
        <v>309</v>
      </c>
      <c r="B12" s="6" t="s">
        <v>310</v>
      </c>
      <c r="C12" s="20">
        <v>0.34010000000000001</v>
      </c>
      <c r="D12" s="20">
        <v>0.34010000000000001</v>
      </c>
      <c r="E12" s="20">
        <v>0.34010000000000001</v>
      </c>
      <c r="F12" s="20">
        <v>0.34010000000000001</v>
      </c>
      <c r="G12" s="20">
        <v>0.34010000000000001</v>
      </c>
      <c r="H12" s="20">
        <v>0.34010000000000001</v>
      </c>
    </row>
    <row r="13" spans="1:8" ht="28.5">
      <c r="A13" s="6" t="s">
        <v>311</v>
      </c>
      <c r="B13" s="6" t="s">
        <v>312</v>
      </c>
      <c r="C13" s="20">
        <v>0.1958</v>
      </c>
      <c r="D13" s="20">
        <v>0.1958</v>
      </c>
      <c r="E13" s="20">
        <v>0.1958</v>
      </c>
      <c r="F13" s="20">
        <v>0.1958</v>
      </c>
      <c r="G13" s="20">
        <v>0.1958</v>
      </c>
      <c r="H13" s="20">
        <v>0.1958</v>
      </c>
    </row>
    <row r="14" spans="1:8" ht="15">
      <c r="A14" s="8" t="s">
        <v>313</v>
      </c>
      <c r="B14" s="8" t="s">
        <v>314</v>
      </c>
      <c r="C14" s="48">
        <v>2.01E-2</v>
      </c>
      <c r="D14" s="48">
        <v>2.01E-2</v>
      </c>
      <c r="E14" s="48">
        <v>2.01E-2</v>
      </c>
      <c r="F14" s="48">
        <v>2.01E-2</v>
      </c>
      <c r="G14" s="48">
        <v>2.01E-2</v>
      </c>
      <c r="H14" s="48">
        <v>2.01E-2</v>
      </c>
    </row>
    <row r="15" spans="1:8" ht="15">
      <c r="A15" s="8" t="s">
        <v>315</v>
      </c>
      <c r="B15" s="8" t="s">
        <v>316</v>
      </c>
      <c r="C15" s="48">
        <f t="shared" ref="C15:H15" si="3">SUM(C5,C10,C14)</f>
        <v>2.2066999999999997</v>
      </c>
      <c r="D15" s="48">
        <f t="shared" si="3"/>
        <v>2.2066999999999997</v>
      </c>
      <c r="E15" s="48">
        <f t="shared" si="3"/>
        <v>2.7062999999999997</v>
      </c>
      <c r="F15" s="48">
        <f t="shared" si="3"/>
        <v>2.7062999999999997</v>
      </c>
      <c r="G15" s="48">
        <f t="shared" si="3"/>
        <v>2.7062999999999997</v>
      </c>
      <c r="H15" s="48">
        <f t="shared" si="3"/>
        <v>2.6530999999999998</v>
      </c>
    </row>
    <row r="17" spans="1:8" ht="15">
      <c r="A17" s="8" t="s">
        <v>294</v>
      </c>
      <c r="B17" s="8" t="s">
        <v>34</v>
      </c>
      <c r="C17" s="1"/>
      <c r="D17" s="1"/>
      <c r="E17" s="1"/>
      <c r="F17" s="1"/>
    </row>
    <row r="18" spans="1:8">
      <c r="A18" s="6" t="s">
        <v>295</v>
      </c>
      <c r="B18" s="6" t="s">
        <v>296</v>
      </c>
      <c r="C18" s="2"/>
      <c r="D18" s="2"/>
      <c r="E18" s="2"/>
      <c r="F18" s="2"/>
    </row>
    <row r="19" spans="1:8">
      <c r="A19" s="6" t="s">
        <v>297</v>
      </c>
      <c r="B19" s="6" t="s">
        <v>298</v>
      </c>
      <c r="C19" s="3"/>
      <c r="D19" s="3"/>
      <c r="E19" s="3"/>
      <c r="F19" s="3"/>
    </row>
    <row r="20" spans="1:8" ht="15">
      <c r="A20" s="8" t="s">
        <v>299</v>
      </c>
      <c r="B20" s="8" t="s">
        <v>35</v>
      </c>
      <c r="C20" s="7"/>
      <c r="D20" s="7"/>
      <c r="E20" s="7"/>
      <c r="F20" s="7"/>
    </row>
    <row r="21" spans="1:8">
      <c r="A21" s="6" t="s">
        <v>301</v>
      </c>
      <c r="B21" s="6" t="s">
        <v>36</v>
      </c>
      <c r="C21" s="20"/>
      <c r="D21" s="20"/>
      <c r="E21" s="20"/>
      <c r="F21" s="20"/>
    </row>
    <row r="22" spans="1:8">
      <c r="A22" s="6" t="s">
        <v>303</v>
      </c>
      <c r="B22" s="6" t="s">
        <v>38</v>
      </c>
      <c r="C22" s="20"/>
      <c r="D22" s="20"/>
      <c r="E22" s="20"/>
      <c r="F22" s="20"/>
    </row>
    <row r="23" spans="1:8">
      <c r="A23" s="6" t="s">
        <v>11</v>
      </c>
      <c r="B23" s="6" t="s">
        <v>12</v>
      </c>
      <c r="C23" s="4"/>
      <c r="D23" s="4"/>
      <c r="E23" s="4"/>
      <c r="F23" s="4"/>
    </row>
    <row r="24" spans="1:8">
      <c r="A24" s="6" t="s">
        <v>13</v>
      </c>
      <c r="B24" s="6" t="s">
        <v>14</v>
      </c>
    </row>
    <row r="25" spans="1:8" ht="15">
      <c r="A25" s="8" t="s">
        <v>305</v>
      </c>
      <c r="B25" s="8" t="s">
        <v>16</v>
      </c>
      <c r="C25" s="7"/>
      <c r="D25" s="7"/>
      <c r="E25" s="7"/>
      <c r="F25" s="7"/>
    </row>
    <row r="26" spans="1:8">
      <c r="A26" s="6" t="s">
        <v>317</v>
      </c>
      <c r="B26" s="6" t="s">
        <v>318</v>
      </c>
      <c r="C26" s="25"/>
      <c r="D26" s="25"/>
      <c r="E26" s="25"/>
      <c r="F26" s="25"/>
    </row>
    <row r="27" spans="1:8">
      <c r="A27" s="6" t="s">
        <v>41</v>
      </c>
      <c r="B27" s="6" t="s">
        <v>41</v>
      </c>
      <c r="C27" s="25"/>
      <c r="D27" s="25"/>
      <c r="E27" s="25"/>
      <c r="F27" s="25"/>
    </row>
    <row r="28" spans="1:8">
      <c r="A28" s="6" t="s">
        <v>42</v>
      </c>
      <c r="B28" s="6" t="s">
        <v>42</v>
      </c>
      <c r="C28" s="20"/>
      <c r="D28" s="20"/>
      <c r="E28" s="20"/>
      <c r="F28" s="20"/>
    </row>
    <row r="29" spans="1:8" ht="15">
      <c r="A29" s="8" t="s">
        <v>315</v>
      </c>
      <c r="B29" s="8" t="s">
        <v>319</v>
      </c>
      <c r="C29" s="48"/>
      <c r="D29" s="48"/>
      <c r="E29" s="48"/>
      <c r="F29" s="48"/>
    </row>
    <row r="31" spans="1:8" ht="15">
      <c r="A31" s="8" t="s">
        <v>294</v>
      </c>
      <c r="B31" s="8" t="s">
        <v>103</v>
      </c>
      <c r="C31" s="1"/>
      <c r="D31" s="1"/>
      <c r="E31" s="1"/>
      <c r="F31" s="1"/>
    </row>
    <row r="32" spans="1:8">
      <c r="A32" s="6" t="s">
        <v>295</v>
      </c>
      <c r="B32" s="6" t="s">
        <v>296</v>
      </c>
      <c r="C32" s="2">
        <f t="shared" ref="C32:H32" si="4">C33/C$94</f>
        <v>0.85661764705882348</v>
      </c>
      <c r="D32" s="2">
        <f t="shared" si="4"/>
        <v>0.85661764705882348</v>
      </c>
      <c r="E32" s="2">
        <f t="shared" si="4"/>
        <v>0.85661764705882348</v>
      </c>
      <c r="F32" s="2">
        <f t="shared" si="4"/>
        <v>0.85661764705882348</v>
      </c>
      <c r="G32" s="2">
        <f t="shared" si="4"/>
        <v>0.85661764705882348</v>
      </c>
      <c r="H32" s="2">
        <f t="shared" si="4"/>
        <v>0.85661764705882348</v>
      </c>
    </row>
    <row r="33" spans="1:8">
      <c r="A33" s="6" t="s">
        <v>297</v>
      </c>
      <c r="B33" s="6" t="s">
        <v>298</v>
      </c>
      <c r="C33" s="3">
        <f>466000*30</f>
        <v>13980000</v>
      </c>
      <c r="D33" s="3">
        <f>466000*31</f>
        <v>14446000</v>
      </c>
      <c r="E33" s="3">
        <f>466000*31</f>
        <v>14446000</v>
      </c>
      <c r="F33" s="3">
        <f>466000*30</f>
        <v>13980000</v>
      </c>
      <c r="G33" s="3">
        <f>466000*31</f>
        <v>14446000</v>
      </c>
      <c r="H33" s="3">
        <f>466000*30</f>
        <v>13980000</v>
      </c>
    </row>
    <row r="34" spans="1:8" ht="15">
      <c r="A34" s="8" t="s">
        <v>299</v>
      </c>
      <c r="B34" s="8" t="s">
        <v>35</v>
      </c>
      <c r="C34" s="7">
        <f t="shared" ref="C34:H34" si="5">ROUND(MAX(5,C37*C36)*C35/C38,4)</f>
        <v>1.7877000000000001</v>
      </c>
      <c r="D34" s="7">
        <f t="shared" si="5"/>
        <v>1.7877000000000001</v>
      </c>
      <c r="E34" s="7">
        <f t="shared" si="5"/>
        <v>2.2488000000000001</v>
      </c>
      <c r="F34" s="7">
        <f t="shared" si="5"/>
        <v>2.2488000000000001</v>
      </c>
      <c r="G34" s="7">
        <f t="shared" si="5"/>
        <v>2.2488000000000001</v>
      </c>
      <c r="H34" s="7">
        <f t="shared" si="5"/>
        <v>2.1997</v>
      </c>
    </row>
    <row r="35" spans="1:8">
      <c r="A35" s="6" t="s">
        <v>301</v>
      </c>
      <c r="B35" s="6" t="s">
        <v>36</v>
      </c>
      <c r="C35" s="20">
        <f>Indicadores!AE7</f>
        <v>5.2591000000000001</v>
      </c>
      <c r="D35" s="20">
        <f>Indicadores!AF7</f>
        <v>5.2591000000000001</v>
      </c>
      <c r="E35" s="20">
        <f>Indicadores!AG8</f>
        <v>4.9988000000000001</v>
      </c>
      <c r="F35" s="20">
        <f>Indicadores!AH8</f>
        <v>4.9988000000000001</v>
      </c>
      <c r="G35" s="20">
        <f>Indicadores!AI8</f>
        <v>4.9988000000000001</v>
      </c>
      <c r="H35" s="20">
        <f>Indicadores!AJ8</f>
        <v>5.0217000000000001</v>
      </c>
    </row>
    <row r="36" spans="1:8">
      <c r="A36" s="6" t="s">
        <v>303</v>
      </c>
      <c r="B36" s="6" t="s">
        <v>38</v>
      </c>
      <c r="C36" s="20">
        <f>Indicadores!AE2</f>
        <v>78.378100000000003</v>
      </c>
      <c r="D36" s="20">
        <f>Indicadores!AF2</f>
        <v>78.378100000000003</v>
      </c>
      <c r="E36" s="20">
        <f>Indicadores!AG4</f>
        <v>103.7259</v>
      </c>
      <c r="F36" s="20">
        <f>Indicadores!AH4</f>
        <v>103.7259</v>
      </c>
      <c r="G36" s="20">
        <f>Indicadores!AI4</f>
        <v>103.7259</v>
      </c>
      <c r="H36" s="20">
        <f>Indicadores!AJ4</f>
        <v>101</v>
      </c>
    </row>
    <row r="37" spans="1:8">
      <c r="A37" s="6" t="s">
        <v>11</v>
      </c>
      <c r="B37" s="6" t="s">
        <v>12</v>
      </c>
      <c r="C37" s="4">
        <v>0.11626666666666666</v>
      </c>
      <c r="D37" s="4">
        <v>0.11626666666666666</v>
      </c>
      <c r="E37" s="4">
        <v>0.11626666666666666</v>
      </c>
      <c r="F37" s="4">
        <v>0.11626666666666666</v>
      </c>
      <c r="G37" s="4">
        <v>0.11626666666666666</v>
      </c>
      <c r="H37" s="4">
        <v>0.11626666666666666</v>
      </c>
    </row>
    <row r="38" spans="1:8">
      <c r="A38" s="6" t="s">
        <v>13</v>
      </c>
      <c r="B38" s="6" t="s">
        <v>14</v>
      </c>
      <c r="C38">
        <v>26.8081</v>
      </c>
      <c r="D38">
        <v>26.8081</v>
      </c>
      <c r="E38">
        <v>26.8081</v>
      </c>
      <c r="F38">
        <v>26.8081</v>
      </c>
      <c r="G38">
        <v>26.8081</v>
      </c>
      <c r="H38">
        <v>26.8081</v>
      </c>
    </row>
    <row r="39" spans="1:8" ht="15">
      <c r="A39" s="8" t="s">
        <v>305</v>
      </c>
      <c r="B39" s="8" t="s">
        <v>16</v>
      </c>
      <c r="C39" s="48">
        <f t="shared" ref="C39:H39" si="6">ROUND(C42*C40/C41,4)</f>
        <v>0.31219999999999998</v>
      </c>
      <c r="D39" s="48">
        <f t="shared" si="6"/>
        <v>0.31219999999999998</v>
      </c>
      <c r="E39" s="48">
        <f t="shared" si="6"/>
        <v>0.31219999999999998</v>
      </c>
      <c r="F39" s="48">
        <f t="shared" si="6"/>
        <v>0.31219999999999998</v>
      </c>
      <c r="G39" s="48">
        <f t="shared" si="6"/>
        <v>0.31219999999999998</v>
      </c>
      <c r="H39" s="48">
        <f t="shared" si="6"/>
        <v>0.31219999999999998</v>
      </c>
    </row>
    <row r="40" spans="1:8">
      <c r="A40" s="6" t="s">
        <v>317</v>
      </c>
      <c r="B40" s="6" t="s">
        <v>40</v>
      </c>
      <c r="C40" s="25">
        <f>Indicadores!$X$11</f>
        <v>1185.175</v>
      </c>
      <c r="D40" s="25">
        <f>Indicadores!$X$11</f>
        <v>1185.175</v>
      </c>
      <c r="E40" s="25">
        <f>Indicadores!$X$11</f>
        <v>1185.175</v>
      </c>
      <c r="F40" s="25">
        <f>Indicadores!$X$11</f>
        <v>1185.175</v>
      </c>
      <c r="G40" s="25">
        <f>Indicadores!$X$11</f>
        <v>1185.175</v>
      </c>
      <c r="H40" s="25">
        <f>Indicadores!$X$11</f>
        <v>1185.175</v>
      </c>
    </row>
    <row r="41" spans="1:8">
      <c r="A41" s="6" t="s">
        <v>41</v>
      </c>
      <c r="B41" s="6" t="s">
        <v>41</v>
      </c>
      <c r="C41" s="25">
        <v>1155.829</v>
      </c>
      <c r="D41" s="25">
        <v>1155.829</v>
      </c>
      <c r="E41" s="25">
        <v>1155.829</v>
      </c>
      <c r="F41" s="25">
        <v>1155.829</v>
      </c>
      <c r="G41" s="25">
        <v>1155.829</v>
      </c>
      <c r="H41" s="25">
        <v>1155.829</v>
      </c>
    </row>
    <row r="42" spans="1:8">
      <c r="A42" s="6" t="s">
        <v>42</v>
      </c>
      <c r="B42" s="6" t="s">
        <v>42</v>
      </c>
      <c r="C42">
        <v>0.30449999999999999</v>
      </c>
      <c r="D42">
        <v>0.30449999999999999</v>
      </c>
      <c r="E42">
        <v>0.30449999999999999</v>
      </c>
      <c r="F42">
        <v>0.30449999999999999</v>
      </c>
      <c r="G42">
        <v>0.30449999999999999</v>
      </c>
      <c r="H42">
        <v>0.30449999999999999</v>
      </c>
    </row>
    <row r="43" spans="1:8" ht="15">
      <c r="A43" s="8" t="s">
        <v>315</v>
      </c>
      <c r="B43" s="8" t="s">
        <v>320</v>
      </c>
      <c r="C43" s="48">
        <f>SUM(C39,C34)</f>
        <v>2.0998999999999999</v>
      </c>
      <c r="D43" s="48">
        <f>SUM(D39,D34)</f>
        <v>2.0998999999999999</v>
      </c>
      <c r="E43" s="48">
        <f>SUM(E39,E34)</f>
        <v>2.5609999999999999</v>
      </c>
      <c r="F43" s="48">
        <f>SUM(F39,F34)</f>
        <v>2.5609999999999999</v>
      </c>
      <c r="G43" s="48">
        <f>SUM(G39,G34)</f>
        <v>2.5609999999999999</v>
      </c>
      <c r="H43" s="48">
        <f t="shared" ref="H43" si="7">SUM(H39,H34)</f>
        <v>2.5118999999999998</v>
      </c>
    </row>
    <row r="45" spans="1:8" ht="15">
      <c r="A45" s="8" t="s">
        <v>294</v>
      </c>
      <c r="B45" s="8" t="s">
        <v>68</v>
      </c>
      <c r="C45" s="1"/>
      <c r="D45" s="1"/>
      <c r="E45" s="1"/>
      <c r="F45" s="1"/>
    </row>
    <row r="46" spans="1:8">
      <c r="A46" s="6" t="s">
        <v>295</v>
      </c>
      <c r="B46" s="6" t="s">
        <v>296</v>
      </c>
      <c r="C46" s="2"/>
      <c r="D46" s="2"/>
      <c r="E46" s="2"/>
      <c r="F46" s="2"/>
      <c r="G46" s="2"/>
    </row>
    <row r="47" spans="1:8">
      <c r="A47" s="6" t="s">
        <v>297</v>
      </c>
      <c r="B47" s="6" t="s">
        <v>298</v>
      </c>
      <c r="C47" s="3"/>
      <c r="D47" s="3"/>
      <c r="E47" s="3"/>
      <c r="F47" s="3"/>
      <c r="G47" s="3"/>
    </row>
    <row r="48" spans="1:8" ht="15">
      <c r="A48" s="8" t="s">
        <v>299</v>
      </c>
      <c r="B48" s="8" t="s">
        <v>35</v>
      </c>
      <c r="C48" s="48"/>
      <c r="D48" s="48"/>
      <c r="E48" s="48"/>
      <c r="F48" s="48"/>
      <c r="G48" s="48"/>
    </row>
    <row r="49" spans="1:7">
      <c r="A49" s="6" t="s">
        <v>301</v>
      </c>
      <c r="B49" s="6" t="s">
        <v>36</v>
      </c>
      <c r="C49" s="20"/>
      <c r="D49" s="20"/>
      <c r="E49" s="20"/>
      <c r="F49" s="20"/>
      <c r="G49" s="20"/>
    </row>
    <row r="50" spans="1:7">
      <c r="A50" s="6" t="s">
        <v>303</v>
      </c>
      <c r="B50" s="6" t="s">
        <v>38</v>
      </c>
      <c r="C50" s="20"/>
      <c r="D50" s="20"/>
      <c r="E50" s="20"/>
      <c r="F50" s="20"/>
      <c r="G50" s="20"/>
    </row>
    <row r="51" spans="1:7">
      <c r="A51" s="6" t="s">
        <v>11</v>
      </c>
      <c r="B51" s="6" t="s">
        <v>12</v>
      </c>
      <c r="C51" s="4"/>
      <c r="D51" s="4"/>
      <c r="E51" s="4"/>
      <c r="F51" s="4"/>
      <c r="G51" s="4"/>
    </row>
    <row r="52" spans="1:7">
      <c r="A52" s="6" t="s">
        <v>13</v>
      </c>
      <c r="B52" s="6" t="s">
        <v>14</v>
      </c>
    </row>
    <row r="53" spans="1:7" ht="15">
      <c r="A53" s="8" t="s">
        <v>305</v>
      </c>
      <c r="B53" s="8" t="s">
        <v>16</v>
      </c>
      <c r="C53" s="48"/>
      <c r="D53" s="48"/>
      <c r="E53" s="48"/>
      <c r="F53" s="48"/>
      <c r="G53" s="48"/>
    </row>
    <row r="54" spans="1:7">
      <c r="A54" s="6" t="s">
        <v>317</v>
      </c>
      <c r="B54" s="6" t="s">
        <v>40</v>
      </c>
      <c r="C54" s="25"/>
      <c r="D54" s="25"/>
      <c r="E54" s="25"/>
      <c r="F54" s="25"/>
      <c r="G54" s="25"/>
    </row>
    <row r="55" spans="1:7">
      <c r="A55" s="6" t="s">
        <v>41</v>
      </c>
      <c r="B55" s="6" t="s">
        <v>41</v>
      </c>
      <c r="C55" s="25"/>
      <c r="D55" s="25"/>
      <c r="E55" s="25"/>
      <c r="F55" s="25"/>
      <c r="G55" s="25"/>
    </row>
    <row r="56" spans="1:7">
      <c r="A56" s="6" t="s">
        <v>42</v>
      </c>
      <c r="B56" s="6" t="s">
        <v>42</v>
      </c>
      <c r="C56" s="20"/>
      <c r="D56" s="20"/>
      <c r="E56" s="20"/>
      <c r="F56" s="20"/>
      <c r="G56" s="20"/>
    </row>
    <row r="57" spans="1:7" ht="15">
      <c r="A57" s="8" t="s">
        <v>315</v>
      </c>
      <c r="B57" s="8" t="s">
        <v>321</v>
      </c>
      <c r="C57" s="48"/>
      <c r="D57" s="48"/>
      <c r="E57" s="48"/>
      <c r="F57" s="48"/>
      <c r="G57" s="48"/>
    </row>
    <row r="59" spans="1:7" ht="15">
      <c r="A59" s="8" t="s">
        <v>294</v>
      </c>
      <c r="B59" s="8" t="s">
        <v>74</v>
      </c>
      <c r="C59" s="1"/>
      <c r="D59" s="1"/>
      <c r="E59" s="1"/>
      <c r="F59" s="1"/>
    </row>
    <row r="60" spans="1:7">
      <c r="A60" s="6" t="s">
        <v>295</v>
      </c>
      <c r="B60" s="6" t="s">
        <v>296</v>
      </c>
      <c r="C60" s="2"/>
      <c r="D60" s="2"/>
      <c r="E60" s="2"/>
      <c r="F60" s="2"/>
      <c r="G60" s="2"/>
    </row>
    <row r="61" spans="1:7">
      <c r="A61" s="6" t="s">
        <v>297</v>
      </c>
      <c r="B61" s="6" t="s">
        <v>298</v>
      </c>
      <c r="C61" s="3"/>
      <c r="D61" s="3"/>
      <c r="E61" s="3"/>
      <c r="F61" s="3"/>
      <c r="G61" s="3"/>
    </row>
    <row r="62" spans="1:7" ht="15">
      <c r="A62" s="8" t="s">
        <v>299</v>
      </c>
      <c r="B62" s="8" t="s">
        <v>35</v>
      </c>
      <c r="C62" s="48"/>
      <c r="D62" s="48"/>
      <c r="E62" s="48"/>
      <c r="F62" s="48"/>
      <c r="G62" s="48"/>
    </row>
    <row r="63" spans="1:7">
      <c r="A63" s="6" t="s">
        <v>301</v>
      </c>
      <c r="B63" s="6" t="s">
        <v>36</v>
      </c>
      <c r="C63" s="20"/>
      <c r="D63" s="20"/>
      <c r="E63" s="20"/>
      <c r="F63" s="20"/>
      <c r="G63" s="20"/>
    </row>
    <row r="64" spans="1:7">
      <c r="A64" s="6" t="s">
        <v>303</v>
      </c>
      <c r="B64" s="6" t="s">
        <v>38</v>
      </c>
      <c r="C64" s="20"/>
      <c r="D64" s="20"/>
      <c r="E64" s="20"/>
      <c r="F64" s="20"/>
      <c r="G64" s="20"/>
    </row>
    <row r="65" spans="1:8">
      <c r="A65" s="6" t="s">
        <v>11</v>
      </c>
      <c r="B65" s="6" t="s">
        <v>12</v>
      </c>
      <c r="C65" s="4"/>
      <c r="D65" s="4"/>
      <c r="E65" s="4"/>
      <c r="F65" s="4"/>
      <c r="G65" s="4"/>
    </row>
    <row r="66" spans="1:8">
      <c r="A66" s="6" t="s">
        <v>13</v>
      </c>
      <c r="B66" s="6" t="s">
        <v>14</v>
      </c>
    </row>
    <row r="67" spans="1:8" ht="15">
      <c r="A67" s="8" t="s">
        <v>305</v>
      </c>
      <c r="B67" s="8" t="s">
        <v>16</v>
      </c>
      <c r="C67" s="7"/>
      <c r="D67" s="7"/>
      <c r="E67" s="7"/>
      <c r="F67" s="7"/>
      <c r="G67" s="7"/>
    </row>
    <row r="68" spans="1:8">
      <c r="A68" s="6" t="s">
        <v>317</v>
      </c>
      <c r="B68" s="6" t="s">
        <v>318</v>
      </c>
      <c r="C68" s="25"/>
      <c r="D68" s="25"/>
      <c r="E68" s="25"/>
      <c r="F68" s="25"/>
      <c r="G68" s="25"/>
    </row>
    <row r="69" spans="1:8">
      <c r="A69" s="6" t="s">
        <v>41</v>
      </c>
      <c r="B69" s="6" t="s">
        <v>41</v>
      </c>
      <c r="C69" s="25"/>
      <c r="D69" s="25"/>
      <c r="E69" s="25"/>
      <c r="F69" s="25"/>
      <c r="G69" s="25"/>
    </row>
    <row r="70" spans="1:8">
      <c r="A70" s="6" t="s">
        <v>42</v>
      </c>
      <c r="B70" s="6" t="s">
        <v>42</v>
      </c>
      <c r="C70" s="20"/>
      <c r="D70" s="20"/>
      <c r="E70" s="20"/>
      <c r="F70" s="20"/>
      <c r="G70" s="20"/>
    </row>
    <row r="71" spans="1:8" ht="15">
      <c r="A71" s="8" t="s">
        <v>315</v>
      </c>
      <c r="B71" s="8" t="s">
        <v>322</v>
      </c>
      <c r="C71" s="48"/>
      <c r="D71" s="48"/>
      <c r="E71" s="48"/>
      <c r="F71" s="48"/>
      <c r="G71" s="48"/>
    </row>
    <row r="73" spans="1:8" ht="15">
      <c r="A73" s="8" t="s">
        <v>294</v>
      </c>
      <c r="B73" s="8" t="s">
        <v>79</v>
      </c>
      <c r="C73" s="1"/>
      <c r="D73" s="1"/>
      <c r="E73" s="1"/>
      <c r="F73" s="1"/>
    </row>
    <row r="74" spans="1:8">
      <c r="A74" s="6" t="s">
        <v>295</v>
      </c>
      <c r="B74" s="6" t="s">
        <v>323</v>
      </c>
      <c r="C74" s="2">
        <f t="shared" ref="C74:H74" si="8">C75/C$94</f>
        <v>2.7573529411764705E-2</v>
      </c>
      <c r="D74" s="2">
        <f t="shared" si="8"/>
        <v>2.7573529411764705E-2</v>
      </c>
      <c r="E74" s="2">
        <f t="shared" si="8"/>
        <v>2.7573529411764705E-2</v>
      </c>
      <c r="F74" s="2">
        <f t="shared" si="8"/>
        <v>2.7573529411764705E-2</v>
      </c>
      <c r="G74" s="2">
        <f t="shared" si="8"/>
        <v>2.7573529411764705E-2</v>
      </c>
      <c r="H74" s="2">
        <f t="shared" si="8"/>
        <v>2.7573529411764705E-2</v>
      </c>
    </row>
    <row r="75" spans="1:8">
      <c r="A75" s="6" t="s">
        <v>297</v>
      </c>
      <c r="B75" s="6" t="s">
        <v>298</v>
      </c>
      <c r="C75" s="3">
        <f>15000*30</f>
        <v>450000</v>
      </c>
      <c r="D75" s="3">
        <f>15000*31</f>
        <v>465000</v>
      </c>
      <c r="E75" s="3">
        <f>15000*31</f>
        <v>465000</v>
      </c>
      <c r="F75" s="3">
        <f>15000*30</f>
        <v>450000</v>
      </c>
      <c r="G75" s="3">
        <f>15000*31</f>
        <v>465000</v>
      </c>
      <c r="H75" s="3">
        <f>15000*30</f>
        <v>450000</v>
      </c>
    </row>
    <row r="76" spans="1:8">
      <c r="A76" s="6" t="s">
        <v>80</v>
      </c>
      <c r="B76" s="6" t="s">
        <v>81</v>
      </c>
      <c r="C76" s="20">
        <v>2.3140000000000001</v>
      </c>
      <c r="D76" s="20">
        <v>2.3140000000000001</v>
      </c>
      <c r="E76" s="20">
        <v>2.3140000000000001</v>
      </c>
      <c r="F76" s="20">
        <v>2.3140000000000001</v>
      </c>
      <c r="G76" s="20">
        <v>2.3140000000000001</v>
      </c>
      <c r="H76" s="20">
        <v>2.3140000000000001</v>
      </c>
    </row>
    <row r="77" spans="1:8">
      <c r="A77" s="6" t="s">
        <v>82</v>
      </c>
      <c r="B77" s="6" t="s">
        <v>83</v>
      </c>
      <c r="C77" s="20">
        <v>0.14000000000000001</v>
      </c>
      <c r="D77" s="20">
        <v>0.14000000000000001</v>
      </c>
      <c r="E77" s="20">
        <v>0.14000000000000001</v>
      </c>
      <c r="F77" s="20">
        <v>0.14000000000000001</v>
      </c>
      <c r="G77" s="20">
        <v>0.14000000000000001</v>
      </c>
      <c r="H77" s="20">
        <v>0.14000000000000001</v>
      </c>
    </row>
    <row r="78" spans="1:8">
      <c r="A78" s="6" t="s">
        <v>324</v>
      </c>
      <c r="B78" s="6" t="s">
        <v>325</v>
      </c>
      <c r="C78" s="37"/>
      <c r="D78" s="37"/>
      <c r="E78" s="37"/>
      <c r="F78" s="37"/>
      <c r="G78" s="37"/>
      <c r="H78" s="37"/>
    </row>
    <row r="79" spans="1:8" ht="15">
      <c r="A79" s="8" t="s">
        <v>315</v>
      </c>
      <c r="B79" s="8" t="s">
        <v>326</v>
      </c>
      <c r="C79" s="48">
        <f>C76+C77</f>
        <v>2.4540000000000002</v>
      </c>
      <c r="D79" s="48">
        <f>D76+D77</f>
        <v>2.4540000000000002</v>
      </c>
      <c r="E79" s="48">
        <f>E76+E77</f>
        <v>2.4540000000000002</v>
      </c>
      <c r="F79" s="48">
        <f>F76+F77</f>
        <v>2.4540000000000002</v>
      </c>
      <c r="G79" s="48">
        <f>G76+G77</f>
        <v>2.4540000000000002</v>
      </c>
      <c r="H79" s="48">
        <f t="shared" ref="H79" si="9">H76+H77</f>
        <v>2.4540000000000002</v>
      </c>
    </row>
    <row r="81" spans="1:8" ht="15">
      <c r="A81" s="8" t="s">
        <v>294</v>
      </c>
      <c r="B81" s="8" t="s">
        <v>88</v>
      </c>
      <c r="C81" s="1"/>
      <c r="D81" s="1"/>
      <c r="E81" s="1"/>
      <c r="F81" s="1"/>
    </row>
    <row r="82" spans="1:8">
      <c r="A82" s="6" t="s">
        <v>295</v>
      </c>
      <c r="B82" s="6" t="s">
        <v>323</v>
      </c>
      <c r="C82" s="2">
        <f t="shared" ref="C82:H82" si="10">C83/C$94</f>
        <v>2.7573529411764705E-2</v>
      </c>
      <c r="D82" s="2">
        <f t="shared" si="10"/>
        <v>2.7573529411764705E-2</v>
      </c>
      <c r="E82" s="2">
        <f t="shared" si="10"/>
        <v>2.7573529411764705E-2</v>
      </c>
      <c r="F82" s="2">
        <f t="shared" si="10"/>
        <v>2.7573529411764705E-2</v>
      </c>
      <c r="G82" s="2">
        <f t="shared" si="10"/>
        <v>2.7573529411764705E-2</v>
      </c>
      <c r="H82" s="2">
        <f t="shared" si="10"/>
        <v>2.7573529411764705E-2</v>
      </c>
    </row>
    <row r="83" spans="1:8">
      <c r="A83" s="6" t="s">
        <v>297</v>
      </c>
      <c r="B83" s="6" t="s">
        <v>298</v>
      </c>
      <c r="C83" s="3">
        <f>15000*30</f>
        <v>450000</v>
      </c>
      <c r="D83" s="3">
        <f>15000*31</f>
        <v>465000</v>
      </c>
      <c r="E83" s="3">
        <f>15000*31</f>
        <v>465000</v>
      </c>
      <c r="F83" s="3">
        <f>15000*30</f>
        <v>450000</v>
      </c>
      <c r="G83" s="3">
        <f>15000*31</f>
        <v>465000</v>
      </c>
      <c r="H83" s="3">
        <f>15000*30</f>
        <v>450000</v>
      </c>
    </row>
    <row r="84" spans="1:8">
      <c r="A84" s="6" t="s">
        <v>80</v>
      </c>
      <c r="B84" s="6" t="s">
        <v>81</v>
      </c>
      <c r="C84" s="20">
        <v>2.8929999999999998</v>
      </c>
      <c r="D84" s="20">
        <v>2.8929999999999998</v>
      </c>
      <c r="E84" s="20">
        <v>2.8929999999999998</v>
      </c>
      <c r="F84" s="20">
        <v>2.8929999999999998</v>
      </c>
      <c r="G84" s="20">
        <v>2.8929999999999998</v>
      </c>
      <c r="H84" s="20">
        <v>2.8929999999999998</v>
      </c>
    </row>
    <row r="85" spans="1:8">
      <c r="A85" s="6" t="s">
        <v>82</v>
      </c>
      <c r="B85" s="6" t="s">
        <v>83</v>
      </c>
      <c r="C85" s="20">
        <v>0.14199999999999999</v>
      </c>
      <c r="D85" s="20">
        <v>0.14199999999999999</v>
      </c>
      <c r="E85" s="20">
        <v>0.14199999999999999</v>
      </c>
      <c r="F85" s="20">
        <v>0.14199999999999999</v>
      </c>
      <c r="G85" s="20">
        <v>0.14199999999999999</v>
      </c>
      <c r="H85" s="20">
        <v>0.14199999999999999</v>
      </c>
    </row>
    <row r="86" spans="1:8">
      <c r="A86" s="6" t="s">
        <v>324</v>
      </c>
      <c r="B86" s="6" t="s">
        <v>325</v>
      </c>
      <c r="C86" s="37"/>
      <c r="D86" s="37"/>
      <c r="E86" s="37"/>
      <c r="F86" s="37"/>
      <c r="G86" s="37"/>
      <c r="H86" s="37"/>
    </row>
    <row r="87" spans="1:8" ht="15">
      <c r="A87" s="8" t="s">
        <v>315</v>
      </c>
      <c r="B87" s="8" t="s">
        <v>326</v>
      </c>
      <c r="C87" s="48">
        <f>C85+C84</f>
        <v>3.0349999999999997</v>
      </c>
      <c r="D87" s="48">
        <f>D85+D84</f>
        <v>3.0349999999999997</v>
      </c>
      <c r="E87" s="48">
        <f>E85+E84</f>
        <v>3.0349999999999997</v>
      </c>
      <c r="F87" s="48">
        <f>F85+F84</f>
        <v>3.0349999999999997</v>
      </c>
      <c r="G87" s="48">
        <f>G85+G84</f>
        <v>3.0349999999999997</v>
      </c>
      <c r="H87" s="48">
        <f t="shared" ref="H87" si="11">H85+H84</f>
        <v>3.0349999999999997</v>
      </c>
    </row>
    <row r="88" spans="1:8">
      <c r="C88" s="3"/>
      <c r="D88" s="3"/>
      <c r="E88" s="3"/>
      <c r="F88" s="3"/>
    </row>
    <row r="89" spans="1:8">
      <c r="A89" s="6" t="s">
        <v>327</v>
      </c>
      <c r="B89" s="6" t="s">
        <v>328</v>
      </c>
      <c r="C89" s="3">
        <v>359178.12712979998</v>
      </c>
      <c r="D89" s="3">
        <v>359178.12712979998</v>
      </c>
      <c r="E89" s="3">
        <v>359178.12712979998</v>
      </c>
      <c r="F89" s="3">
        <v>359178.12712979998</v>
      </c>
      <c r="G89" s="3">
        <v>359178.12712979998</v>
      </c>
      <c r="H89" s="3">
        <v>359178.12712979998</v>
      </c>
    </row>
    <row r="90" spans="1:8">
      <c r="A90" s="6" t="s">
        <v>327</v>
      </c>
      <c r="B90" s="6" t="s">
        <v>205</v>
      </c>
      <c r="C90" s="3">
        <f>733000*30*0.1308</f>
        <v>2876292</v>
      </c>
      <c r="D90" s="3">
        <f>733000*31*0.1308</f>
        <v>2972168.4</v>
      </c>
      <c r="E90" s="3">
        <f>733000*31*0.1308</f>
        <v>2972168.4</v>
      </c>
      <c r="F90" s="3">
        <f>733000*30*0.1308</f>
        <v>2876292</v>
      </c>
      <c r="G90" s="3">
        <f>733000*31*0.1308</f>
        <v>2972168.4</v>
      </c>
      <c r="H90" s="3">
        <f>733000*30*0.1308</f>
        <v>2876292</v>
      </c>
    </row>
    <row r="91" spans="1:8">
      <c r="A91" s="6" t="s">
        <v>327</v>
      </c>
      <c r="B91" s="6" t="s">
        <v>206</v>
      </c>
      <c r="C91" s="3">
        <f>100000*30*0.0592</f>
        <v>177600</v>
      </c>
      <c r="D91" s="3">
        <f>100000*31*0.0592</f>
        <v>183520</v>
      </c>
      <c r="E91" s="3">
        <f>100000*31*0.0592</f>
        <v>183520</v>
      </c>
      <c r="F91" s="3">
        <f>100000*30*0.0592</f>
        <v>177600</v>
      </c>
      <c r="G91" s="3">
        <f>100000*31*0.0592</f>
        <v>183520</v>
      </c>
      <c r="H91" s="3">
        <f>100000*30*0.0592</f>
        <v>177600</v>
      </c>
    </row>
    <row r="92" spans="1:8">
      <c r="A92" s="6" t="s">
        <v>329</v>
      </c>
      <c r="B92" s="6" t="s">
        <v>208</v>
      </c>
      <c r="C92" s="3">
        <f t="shared" ref="C92:H92" si="12">SUM(C89:C91)</f>
        <v>3413070.1271298002</v>
      </c>
      <c r="D92" s="3">
        <f t="shared" si="12"/>
        <v>3514866.5271298001</v>
      </c>
      <c r="E92" s="3">
        <f t="shared" si="12"/>
        <v>3514866.5271298001</v>
      </c>
      <c r="F92" s="3">
        <f t="shared" si="12"/>
        <v>3413070.1271298002</v>
      </c>
      <c r="G92" s="3">
        <f t="shared" si="12"/>
        <v>3514866.5271298001</v>
      </c>
      <c r="H92" s="3">
        <f t="shared" si="12"/>
        <v>3413070.1271298002</v>
      </c>
    </row>
    <row r="94" spans="1:8" ht="15">
      <c r="A94" s="8" t="s">
        <v>330</v>
      </c>
      <c r="B94" s="8" t="s">
        <v>331</v>
      </c>
      <c r="C94" s="35">
        <f>SUM(C4,C33,C75,C83)</f>
        <v>16320000</v>
      </c>
      <c r="D94" s="35">
        <f>SUM(D4,D33,D75,D83)</f>
        <v>16864000</v>
      </c>
      <c r="E94" s="35">
        <f>SUM(E4,E33,E75,E83)</f>
        <v>16864000</v>
      </c>
      <c r="F94" s="35">
        <f>SUM(F4,F33,F75,F83)</f>
        <v>16320000</v>
      </c>
      <c r="G94" s="35">
        <f>SUM(G4,G33,G75,G83)</f>
        <v>16864000</v>
      </c>
      <c r="H94" s="35">
        <f t="shared" ref="H94" si="13">SUM(H4,H33,H75,H83)</f>
        <v>16320000</v>
      </c>
    </row>
    <row r="95" spans="1:8" ht="15">
      <c r="A95" s="8"/>
      <c r="B95" s="8"/>
    </row>
    <row r="96" spans="1:8" ht="15">
      <c r="A96" s="8" t="s">
        <v>332</v>
      </c>
      <c r="B96" s="8" t="s">
        <v>333</v>
      </c>
      <c r="C96" s="92">
        <f>ROUND(((C15*C4)+(C43*C33)+(C79*C75)+(C83*C87)+C92)/C94,4)</f>
        <v>2.3540000000000001</v>
      </c>
      <c r="D96" s="92">
        <f>ROUND(((D15*D4)+(D43*D33)+(D79*D75)+(D83*D87)+D92)/D94,4)</f>
        <v>2.3532999999999999</v>
      </c>
      <c r="E96" s="92">
        <f>ROUND(((E15*E4)+(E43*E33)+(E79*E75)+(E83*E87)+E92)/E94,4)</f>
        <v>2.7924000000000002</v>
      </c>
      <c r="F96" s="92">
        <f>ROUND(((F15*F4)+(F43*F33)+(F79*F75)+(F83*F87)+F92)/F94,4)</f>
        <v>2.7930999999999999</v>
      </c>
      <c r="G96" s="92">
        <f>ROUND(((G15*G4)+(G43*G33)+(G79*G75)+(G83*G87)+G92)/G94,4)</f>
        <v>2.7924000000000002</v>
      </c>
      <c r="H96" s="92">
        <f t="shared" ref="H96" si="14">ROUND(((H15*H4)+(H43*H33)+(H79*H75)+(H83*H87)+H92)/H94,4)</f>
        <v>2.7463000000000002</v>
      </c>
    </row>
    <row r="98" spans="1:6" ht="15">
      <c r="A98" s="8" t="s">
        <v>334</v>
      </c>
      <c r="B98" s="8" t="s">
        <v>335</v>
      </c>
      <c r="C98" s="93">
        <f>SUMPRODUCT(C96:H96,C94:H94)/SUM(C94:H94)</f>
        <v>2.6387054644808741</v>
      </c>
      <c r="D98" s="92"/>
      <c r="E98" s="92"/>
      <c r="F98" s="92"/>
    </row>
    <row r="99" spans="1:6">
      <c r="C99" s="3"/>
      <c r="D99" s="3"/>
      <c r="E99" s="3"/>
    </row>
    <row r="100" spans="1:6">
      <c r="C100" s="20"/>
      <c r="D100" s="20"/>
      <c r="E100" s="20"/>
    </row>
    <row r="101" spans="1:6">
      <c r="F101" s="78"/>
    </row>
    <row r="102" spans="1:6">
      <c r="C102" s="20"/>
    </row>
  </sheetData>
  <pageMargins left="0.7" right="0.7" top="0.75" bottom="0.75" header="0.3" footer="0.3"/>
  <pageSetup paperSize="9" orientation="portrait" r:id="rId1"/>
  <headerFooter>
    <oddHeader>&amp;L&amp;"Calibri"&amp;10&amp;K000000 Interno&amp;1#_x000D_</oddHeader>
    <oddFooter>&amp;L_x000D_&amp;1#&amp;"Calibri"&amp;10&amp;K000000 Interno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AO31"/>
  <sheetViews>
    <sheetView workbookViewId="0">
      <pane xSplit="1" ySplit="1" topLeftCell="U2" activePane="bottomRight" state="frozen"/>
      <selection pane="topRight" activeCell="C1" sqref="C1"/>
      <selection pane="bottomLeft" activeCell="A2" sqref="A2"/>
      <selection pane="bottomRight" activeCell="AL2" sqref="AL2"/>
    </sheetView>
  </sheetViews>
  <sheetFormatPr defaultRowHeight="14.25"/>
  <cols>
    <col min="1" max="1" width="15.125" bestFit="1" customWidth="1"/>
    <col min="2" max="18" width="9.375" customWidth="1"/>
    <col min="24" max="30" width="9.125" customWidth="1"/>
    <col min="31" max="31" width="9.375" customWidth="1"/>
    <col min="32" max="32" width="8.875" customWidth="1"/>
    <col min="39" max="39" width="8.875" bestFit="1" customWidth="1"/>
  </cols>
  <sheetData>
    <row r="1" spans="1:41" ht="15">
      <c r="A1" s="7" t="s">
        <v>336</v>
      </c>
      <c r="B1" s="84">
        <v>45292</v>
      </c>
      <c r="C1" s="84">
        <v>45323</v>
      </c>
      <c r="D1" s="84">
        <v>45352</v>
      </c>
      <c r="E1" s="84">
        <v>45383</v>
      </c>
      <c r="F1" s="84">
        <v>45413</v>
      </c>
      <c r="G1" s="84">
        <v>45444</v>
      </c>
      <c r="H1" s="84">
        <v>45474</v>
      </c>
      <c r="I1" s="84">
        <v>45505</v>
      </c>
      <c r="J1" s="84">
        <v>45536</v>
      </c>
      <c r="K1" s="84">
        <v>45566</v>
      </c>
      <c r="L1" s="84">
        <v>45597</v>
      </c>
      <c r="M1" s="84">
        <v>45627</v>
      </c>
      <c r="N1" s="84">
        <v>45658</v>
      </c>
      <c r="O1" s="84">
        <v>45689</v>
      </c>
      <c r="P1" s="84">
        <v>45717</v>
      </c>
      <c r="Q1" s="84">
        <v>45748</v>
      </c>
      <c r="R1" s="84">
        <v>45778</v>
      </c>
      <c r="S1" s="84">
        <v>45809</v>
      </c>
      <c r="T1" s="84">
        <v>45839</v>
      </c>
      <c r="U1" s="84">
        <v>45870</v>
      </c>
      <c r="V1" s="84">
        <v>45901</v>
      </c>
      <c r="W1" s="84">
        <v>45931</v>
      </c>
      <c r="X1" s="84">
        <v>45962</v>
      </c>
      <c r="Y1" s="84">
        <v>45992</v>
      </c>
      <c r="Z1" s="84">
        <v>46023</v>
      </c>
      <c r="AA1" s="84">
        <v>46054</v>
      </c>
      <c r="AB1" s="84">
        <v>46082</v>
      </c>
      <c r="AC1" s="84">
        <v>46113</v>
      </c>
      <c r="AD1" s="84">
        <v>46143</v>
      </c>
      <c r="AE1" s="84">
        <v>46174</v>
      </c>
      <c r="AF1" s="84">
        <v>46204</v>
      </c>
      <c r="AG1" s="84">
        <v>46235</v>
      </c>
      <c r="AH1" s="84">
        <v>46266</v>
      </c>
      <c r="AI1" s="84">
        <v>46296</v>
      </c>
      <c r="AJ1" s="84">
        <v>46327</v>
      </c>
      <c r="AK1" s="84">
        <v>46357</v>
      </c>
    </row>
    <row r="2" spans="1:41">
      <c r="A2" t="s">
        <v>337</v>
      </c>
      <c r="B2" s="20">
        <f>'Indicador - Dados primários'!$O2</f>
        <v>0</v>
      </c>
      <c r="C2" s="20">
        <f>'Indicador - Dados primários'!$O3</f>
        <v>82.8536</v>
      </c>
      <c r="D2" s="20">
        <f>'Indicador - Dados primários'!$O4</f>
        <v>82.8536</v>
      </c>
      <c r="E2" s="20">
        <f>'Indicador - Dados primários'!$O5</f>
        <v>82.8536</v>
      </c>
      <c r="F2" s="20">
        <f>'Indicador - Dados primários'!$O6</f>
        <v>81.756200000000007</v>
      </c>
      <c r="G2" s="20">
        <f>'Indicador - Dados primários'!$O7</f>
        <v>81.756200000000007</v>
      </c>
      <c r="H2" s="20">
        <f>'Indicador - Dados primários'!$O8</f>
        <v>81.756200000000007</v>
      </c>
      <c r="I2" s="20">
        <f>'Indicador - Dados primários'!$O9</f>
        <v>85.0291</v>
      </c>
      <c r="J2" s="20">
        <f>'Indicador - Dados primários'!$O10</f>
        <v>85.0291</v>
      </c>
      <c r="K2" s="20">
        <f>'Indicador - Dados primários'!$O11</f>
        <v>85.0291</v>
      </c>
      <c r="L2" s="20">
        <f>'Indicador - Dados primários'!$O12</f>
        <v>78.708500000000001</v>
      </c>
      <c r="M2" s="20">
        <f>'Indicador - Dados primários'!$O13</f>
        <v>78.708500000000001</v>
      </c>
      <c r="N2" s="20">
        <f>'Indicador - Dados primários'!$O14</f>
        <v>78.708500000000001</v>
      </c>
      <c r="O2" s="20">
        <f>'Indicador - Dados primários'!$O15</f>
        <v>74.012200000000007</v>
      </c>
      <c r="P2" s="20">
        <f>'Indicador - Dados primários'!$O16</f>
        <v>74.012200000000007</v>
      </c>
      <c r="Q2" s="20">
        <f>'Indicador - Dados primários'!$O17</f>
        <v>74.012200000000007</v>
      </c>
      <c r="R2" s="20">
        <f>'Indicador - Dados primários'!$O18</f>
        <v>74.977500000000006</v>
      </c>
      <c r="S2" s="20">
        <f>'Indicador - Dados primários'!$O19</f>
        <v>74.977500000000006</v>
      </c>
      <c r="T2" s="20">
        <f>'Indicador - Dados primários'!$O20</f>
        <v>74.977500000000006</v>
      </c>
      <c r="U2" s="20">
        <f>'Indicador - Dados primários'!$O21</f>
        <v>66.7119</v>
      </c>
      <c r="V2" s="20">
        <f>'Indicador - Dados primários'!$O22</f>
        <v>66.7119</v>
      </c>
      <c r="W2" s="20">
        <f>'Indicador - Dados primários'!$O23</f>
        <v>66.7119</v>
      </c>
      <c r="X2" s="20">
        <f>'Indicador - Dados primários'!$O24</f>
        <v>68.165000000000006</v>
      </c>
      <c r="Y2" s="20">
        <f>'Indicador - Dados primários'!$O25</f>
        <v>68.165000000000006</v>
      </c>
      <c r="Z2" s="20">
        <f>'Indicador - Dados primários'!$O26</f>
        <v>68.165000000000006</v>
      </c>
      <c r="AA2" s="20">
        <f>'Indicador - Dados primários'!$O27</f>
        <v>63.077199999999998</v>
      </c>
      <c r="AB2" s="20">
        <f>'Indicador - Dados primários'!$O28</f>
        <v>63.077199999999998</v>
      </c>
      <c r="AC2" s="20">
        <f>'Indicador - Dados primários'!$O29</f>
        <v>63.077199999999998</v>
      </c>
      <c r="AD2" s="20">
        <f>'Indicador - Dados primários'!$O30</f>
        <v>78.378100000000003</v>
      </c>
      <c r="AE2" s="20">
        <f>'Indicador - Dados primários'!$O31</f>
        <v>78.378100000000003</v>
      </c>
      <c r="AF2" s="20">
        <f>'Indicador - Dados primários'!$O32</f>
        <v>78.378100000000003</v>
      </c>
    </row>
    <row r="3" spans="1:41">
      <c r="A3" t="s">
        <v>338</v>
      </c>
      <c r="B3" s="20">
        <f>'Indicador - Dados primários'!$P2</f>
        <v>86.746600000000001</v>
      </c>
      <c r="C3" s="20">
        <f>'Indicador - Dados primários'!$P3</f>
        <v>84.335099999999997</v>
      </c>
      <c r="D3" s="20">
        <f>'Indicador - Dados primários'!$P4</f>
        <v>84.335099999999997</v>
      </c>
      <c r="E3" s="20">
        <f>'Indicador - Dados primários'!$P5</f>
        <v>84.335099999999997</v>
      </c>
      <c r="F3" s="20">
        <f>'Indicador - Dados primários'!$P6</f>
        <v>83.162700000000001</v>
      </c>
      <c r="G3" s="20">
        <f>'Indicador - Dados primários'!$P7</f>
        <v>83.162700000000001</v>
      </c>
      <c r="H3" s="20">
        <f>'Indicador - Dados primários'!$P8</f>
        <v>83.162700000000001</v>
      </c>
      <c r="I3" s="20">
        <f>'Indicador - Dados primários'!$P9</f>
        <v>84.972800000000007</v>
      </c>
      <c r="J3" s="20">
        <f>'Indicador - Dados primários'!$P10</f>
        <v>84.972800000000007</v>
      </c>
      <c r="K3" s="20">
        <f>'Indicador - Dados primários'!$P11</f>
        <v>84.972800000000007</v>
      </c>
      <c r="L3" s="20">
        <f>'Indicador - Dados primários'!$P12</f>
        <v>80.338300000000004</v>
      </c>
      <c r="M3" s="20">
        <f>'Indicador - Dados primários'!$P13</f>
        <v>80.338300000000004</v>
      </c>
      <c r="N3" s="20">
        <f>'Indicador - Dados primários'!$P14</f>
        <v>80.338300000000004</v>
      </c>
      <c r="O3" s="20">
        <f>'Indicador - Dados primários'!$P15</f>
        <v>74.7333</v>
      </c>
      <c r="P3" s="20">
        <f>'Indicador - Dados primários'!$P16</f>
        <v>74.7333</v>
      </c>
      <c r="Q3" s="20">
        <f>'Indicador - Dados primários'!$P17</f>
        <v>74.7333</v>
      </c>
      <c r="R3" s="20">
        <f>'Indicador - Dados primários'!$P18</f>
        <v>75.728200000000001</v>
      </c>
      <c r="S3" s="20">
        <f>'Indicador - Dados primários'!$P19</f>
        <v>75.728200000000001</v>
      </c>
      <c r="T3" s="20">
        <f>'Indicador - Dados primários'!$P20</f>
        <v>75.728200000000001</v>
      </c>
      <c r="U3" s="20">
        <f>'Indicador - Dados primários'!$P21</f>
        <v>67.884</v>
      </c>
      <c r="V3" s="20">
        <f>'Indicador - Dados primários'!$P22</f>
        <v>67.884</v>
      </c>
      <c r="W3" s="20">
        <f>'Indicador - Dados primários'!$P23</f>
        <v>67.884</v>
      </c>
      <c r="X3" s="20">
        <f>'Indicador - Dados primários'!$P24</f>
        <v>69.1267</v>
      </c>
      <c r="Y3" s="20">
        <f>'Indicador - Dados primários'!$P25</f>
        <v>69.1267</v>
      </c>
      <c r="Z3" s="20">
        <f>'Indicador - Dados primários'!$P26</f>
        <v>69.1267</v>
      </c>
      <c r="AA3" s="20">
        <f>'Indicador - Dados primários'!$P27</f>
        <v>63.726599999999998</v>
      </c>
      <c r="AB3" s="20">
        <f>'Indicador - Dados primários'!$P28</f>
        <v>63.726599999999998</v>
      </c>
      <c r="AC3" s="20">
        <f>'Indicador - Dados primários'!$P29</f>
        <v>63.726599999999998</v>
      </c>
      <c r="AD3" s="20"/>
      <c r="AE3" s="20"/>
      <c r="AF3" s="20"/>
    </row>
    <row r="4" spans="1:41">
      <c r="A4" t="s">
        <v>303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X4" s="20"/>
      <c r="Y4" s="20"/>
      <c r="Z4" s="20"/>
      <c r="AA4" s="20"/>
      <c r="AB4" s="20"/>
      <c r="AC4" s="20"/>
      <c r="AD4" s="20"/>
      <c r="AE4" s="20"/>
      <c r="AF4" s="20"/>
      <c r="AG4" s="20">
        <f>'Indicador - Dados primários'!$O33</f>
        <v>103.7259</v>
      </c>
      <c r="AH4" s="20">
        <f>'Indicador - Dados primários'!$O34</f>
        <v>103.7259</v>
      </c>
      <c r="AI4" s="20">
        <f>'Indicador - Dados primários'!$O35</f>
        <v>103.7259</v>
      </c>
      <c r="AJ4" s="20">
        <f>'Indicador - Dados primários'!$O36</f>
        <v>101</v>
      </c>
      <c r="AK4" s="20">
        <f>'Indicador - Dados primários'!$O37</f>
        <v>101</v>
      </c>
    </row>
    <row r="6" spans="1:41" ht="15">
      <c r="A6" s="7" t="s">
        <v>339</v>
      </c>
      <c r="B6" s="84">
        <v>45292</v>
      </c>
      <c r="C6" s="84">
        <v>45323</v>
      </c>
      <c r="D6" s="84">
        <v>45352</v>
      </c>
      <c r="E6" s="84">
        <v>45383</v>
      </c>
      <c r="F6" s="84">
        <v>45413</v>
      </c>
      <c r="G6" s="84">
        <v>45444</v>
      </c>
      <c r="H6" s="84">
        <v>45474</v>
      </c>
      <c r="I6" s="84">
        <v>45505</v>
      </c>
      <c r="J6" s="84">
        <v>45536</v>
      </c>
      <c r="K6" s="84">
        <v>45566</v>
      </c>
      <c r="L6" s="84">
        <v>45597</v>
      </c>
      <c r="M6" s="84">
        <v>45627</v>
      </c>
      <c r="N6" s="84">
        <v>45658</v>
      </c>
      <c r="O6" s="84">
        <v>45689</v>
      </c>
      <c r="P6" s="84">
        <v>45717</v>
      </c>
      <c r="Q6" s="84">
        <v>45748</v>
      </c>
      <c r="R6" s="84">
        <v>45778</v>
      </c>
      <c r="S6" s="84">
        <v>45809</v>
      </c>
      <c r="T6" s="84">
        <v>45839</v>
      </c>
      <c r="U6" s="84">
        <v>45870</v>
      </c>
      <c r="V6" s="84">
        <v>45901</v>
      </c>
      <c r="W6" s="84">
        <v>45931</v>
      </c>
      <c r="X6" s="84">
        <v>45962</v>
      </c>
      <c r="Y6" s="84">
        <v>45992</v>
      </c>
      <c r="Z6" s="84">
        <v>46023</v>
      </c>
      <c r="AA6" s="84">
        <v>46054</v>
      </c>
      <c r="AB6" s="84">
        <v>46082</v>
      </c>
      <c r="AC6" s="84">
        <v>46113</v>
      </c>
      <c r="AD6" s="84">
        <v>46143</v>
      </c>
      <c r="AE6" s="84">
        <v>46174</v>
      </c>
      <c r="AF6" s="84">
        <v>46204</v>
      </c>
      <c r="AG6" s="84">
        <v>46235</v>
      </c>
      <c r="AH6" s="84">
        <v>46266</v>
      </c>
      <c r="AI6" s="84">
        <v>46296</v>
      </c>
      <c r="AJ6" s="84">
        <v>46327</v>
      </c>
      <c r="AK6" s="84">
        <v>46357</v>
      </c>
    </row>
    <row r="7" spans="1:41">
      <c r="A7" t="s">
        <v>7</v>
      </c>
      <c r="B7" s="20">
        <f>'Indicador - Dados primários'!$G2</f>
        <v>0</v>
      </c>
      <c r="C7" s="20">
        <f>'Indicador - Dados primários'!$G3</f>
        <v>4.9553000000000003</v>
      </c>
      <c r="D7" s="20">
        <f>'Indicador - Dados primários'!$G4</f>
        <v>4.9553000000000003</v>
      </c>
      <c r="E7" s="20">
        <f>'Indicador - Dados primários'!$G5</f>
        <v>4.9553000000000003</v>
      </c>
      <c r="F7" s="20">
        <f>'Indicador - Dados primários'!$G6</f>
        <v>4.9515000000000002</v>
      </c>
      <c r="G7" s="20">
        <f>'Indicador - Dados primários'!$G7</f>
        <v>4.9515000000000002</v>
      </c>
      <c r="H7" s="20">
        <f>'Indicador - Dados primários'!$G8</f>
        <v>4.9515000000000002</v>
      </c>
      <c r="I7" s="20">
        <f>'Indicador - Dados primários'!$G9</f>
        <v>5.2129000000000003</v>
      </c>
      <c r="J7" s="20">
        <f>'Indicador - Dados primários'!$G10</f>
        <v>5.2129000000000003</v>
      </c>
      <c r="K7" s="20">
        <f>'Indicador - Dados primários'!$G11</f>
        <v>5.2129000000000003</v>
      </c>
      <c r="L7" s="20">
        <f>'Indicador - Dados primários'!$G12</f>
        <v>5.5453999999999999</v>
      </c>
      <c r="M7" s="20">
        <f>'Indicador - Dados primários'!$G13</f>
        <v>5.5453999999999999</v>
      </c>
      <c r="N7" s="20">
        <f>'Indicador - Dados primários'!$G14</f>
        <v>5.5453999999999999</v>
      </c>
      <c r="O7" s="20">
        <f>'Indicador - Dados primários'!$G15</f>
        <v>5.8369</v>
      </c>
      <c r="P7" s="20">
        <f>'Indicador - Dados primários'!$G16</f>
        <v>5.8369</v>
      </c>
      <c r="Q7" s="20">
        <f>'Indicador - Dados primários'!$G17</f>
        <v>5.8369</v>
      </c>
      <c r="R7" s="20">
        <f>'Indicador - Dados primários'!$G18</f>
        <v>5.8521999999999998</v>
      </c>
      <c r="S7" s="20">
        <f>'Indicador - Dados primários'!$G19</f>
        <v>5.8521999999999998</v>
      </c>
      <c r="T7" s="20">
        <f>'Indicador - Dados primários'!$G20</f>
        <v>5.8521999999999998</v>
      </c>
      <c r="U7" s="20">
        <f>'Indicador - Dados primários'!$G21</f>
        <v>5.6661000000000001</v>
      </c>
      <c r="V7" s="20">
        <f>'Indicador - Dados primários'!$G22</f>
        <v>5.6661000000000001</v>
      </c>
      <c r="W7" s="20">
        <f>'Indicador - Dados primários'!$G23</f>
        <v>5.6661000000000001</v>
      </c>
      <c r="X7" s="20">
        <f>'Indicador - Dados primários'!$G24</f>
        <v>5.4488000000000003</v>
      </c>
      <c r="Y7" s="20">
        <f>'Indicador - Dados primários'!$G25</f>
        <v>5.4488000000000003</v>
      </c>
      <c r="Z7" s="20">
        <f>'Indicador - Dados primários'!$G26</f>
        <v>5.4488000000000003</v>
      </c>
      <c r="AA7" s="20">
        <f>'Indicador - Dados primários'!$G27</f>
        <v>5.3955000000000002</v>
      </c>
      <c r="AB7" s="20">
        <f>'Indicador - Dados primários'!$G28</f>
        <v>5.3955000000000002</v>
      </c>
      <c r="AC7" s="20">
        <f>'Indicador - Dados primários'!$G29</f>
        <v>5.3955000000000002</v>
      </c>
      <c r="AD7" s="20">
        <f>'Indicador - Dados primários'!$G30</f>
        <v>5.2591000000000001</v>
      </c>
      <c r="AE7" s="20">
        <f>'Indicador - Dados primários'!$G31</f>
        <v>5.2591000000000001</v>
      </c>
      <c r="AF7" s="20">
        <f>'Indicador - Dados primários'!$G32</f>
        <v>5.2591000000000001</v>
      </c>
    </row>
    <row r="8" spans="1:41">
      <c r="A8" t="s">
        <v>301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>
        <f>'Indicador - Dados primários'!G33</f>
        <v>4.9988000000000001</v>
      </c>
      <c r="AH8" s="20">
        <f>'Indicador - Dados primários'!G34</f>
        <v>4.9988000000000001</v>
      </c>
      <c r="AI8" s="20">
        <f>'Indicador - Dados primários'!G35</f>
        <v>4.9988000000000001</v>
      </c>
      <c r="AJ8" s="20">
        <f>'Indicador - Dados primários'!G36</f>
        <v>5.0217000000000001</v>
      </c>
      <c r="AK8" s="20">
        <f>'Indicador - Dados primários'!G37</f>
        <v>5.0217000000000001</v>
      </c>
    </row>
    <row r="10" spans="1:41" ht="15">
      <c r="A10" s="7" t="s">
        <v>340</v>
      </c>
      <c r="B10" s="84">
        <v>45292</v>
      </c>
      <c r="C10" s="84">
        <v>45323</v>
      </c>
      <c r="D10" s="84">
        <v>45352</v>
      </c>
      <c r="E10" s="84">
        <v>45383</v>
      </c>
      <c r="F10" s="84">
        <v>45413</v>
      </c>
      <c r="G10" s="84">
        <v>45444</v>
      </c>
      <c r="H10" s="84">
        <v>45474</v>
      </c>
      <c r="I10" s="84">
        <v>45505</v>
      </c>
      <c r="J10" s="84">
        <v>45536</v>
      </c>
      <c r="K10" s="84">
        <v>45566</v>
      </c>
      <c r="L10" s="84">
        <v>45597</v>
      </c>
      <c r="M10" s="84">
        <v>45627</v>
      </c>
      <c r="N10" s="84">
        <v>45658</v>
      </c>
      <c r="O10" s="84">
        <v>45689</v>
      </c>
      <c r="P10" s="84">
        <v>45717</v>
      </c>
      <c r="Q10" s="84">
        <v>45748</v>
      </c>
      <c r="R10" s="84">
        <v>45778</v>
      </c>
      <c r="S10" s="84">
        <v>45809</v>
      </c>
      <c r="T10" s="84">
        <v>45839</v>
      </c>
      <c r="U10" s="84">
        <v>45870</v>
      </c>
      <c r="V10" s="84">
        <v>45901</v>
      </c>
      <c r="W10" s="84">
        <v>45931</v>
      </c>
      <c r="X10" s="84">
        <v>45962</v>
      </c>
      <c r="Y10" s="84">
        <v>45992</v>
      </c>
      <c r="Z10" s="84">
        <v>46023</v>
      </c>
      <c r="AA10" s="84">
        <v>46054</v>
      </c>
      <c r="AB10" s="84">
        <v>46082</v>
      </c>
      <c r="AC10" s="84">
        <v>46113</v>
      </c>
      <c r="AD10" s="84">
        <v>46143</v>
      </c>
      <c r="AE10" s="84">
        <v>46174</v>
      </c>
      <c r="AF10" s="84">
        <v>46204</v>
      </c>
      <c r="AG10" s="84">
        <v>46235</v>
      </c>
      <c r="AH10" s="84">
        <v>46266</v>
      </c>
      <c r="AI10" s="84">
        <v>46296</v>
      </c>
      <c r="AJ10" s="84">
        <v>46327</v>
      </c>
      <c r="AK10" s="84">
        <v>46357</v>
      </c>
    </row>
    <row r="11" spans="1:41">
      <c r="A11" t="s">
        <v>341</v>
      </c>
      <c r="B11" s="25">
        <v>1124.8789999999999</v>
      </c>
      <c r="C11" s="25">
        <v>1119.0609999999999</v>
      </c>
      <c r="D11" s="25">
        <v>1113.837</v>
      </c>
      <c r="E11" s="25">
        <v>1117.28</v>
      </c>
      <c r="F11" s="25">
        <v>1127.2329999999999</v>
      </c>
      <c r="G11" s="25">
        <v>1136.4090000000001</v>
      </c>
      <c r="H11" s="25">
        <v>1143.3130000000001</v>
      </c>
      <c r="I11" s="25">
        <v>1146.575</v>
      </c>
      <c r="J11" s="25">
        <v>1153.7180000000001</v>
      </c>
      <c r="K11" s="25">
        <v>1171.2719999999999</v>
      </c>
      <c r="L11" s="25">
        <v>1186.462</v>
      </c>
      <c r="M11" s="25">
        <v>1197.5619999999999</v>
      </c>
      <c r="N11" s="25">
        <v>1200.7750000000001</v>
      </c>
      <c r="O11" s="25">
        <v>1213.5139999999999</v>
      </c>
      <c r="P11" s="25">
        <v>1209.432</v>
      </c>
      <c r="Q11" s="25">
        <v>1212.296</v>
      </c>
      <c r="R11" s="25">
        <v>1206.3779999999999</v>
      </c>
      <c r="S11" s="25">
        <v>1186.259</v>
      </c>
      <c r="T11" s="25">
        <v>1177.1679999999999</v>
      </c>
      <c r="U11" s="25">
        <v>1181.3689999999999</v>
      </c>
      <c r="V11" s="25">
        <v>1186.2829999999999</v>
      </c>
      <c r="W11" s="25">
        <v>1182.0050000000001</v>
      </c>
      <c r="X11" s="25">
        <v>1185.175</v>
      </c>
      <c r="Y11" s="25">
        <v>1184.998</v>
      </c>
      <c r="Z11" s="25">
        <v>1189.82</v>
      </c>
      <c r="AA11" s="25">
        <v>1181.152</v>
      </c>
      <c r="AB11" s="25">
        <v>1187.3019999999999</v>
      </c>
      <c r="AC11" s="25">
        <v>1219.6780000000001</v>
      </c>
      <c r="AD11" s="25">
        <v>1229.904</v>
      </c>
      <c r="AE11" s="25"/>
      <c r="AF11" s="25"/>
      <c r="AG11" s="25"/>
      <c r="AH11" s="25"/>
      <c r="AI11" s="25"/>
      <c r="AJ11" s="25"/>
      <c r="AK11" s="25"/>
      <c r="AM11" s="28"/>
      <c r="AN11" s="72"/>
    </row>
    <row r="12" spans="1:41" s="32" customFormat="1">
      <c r="A12" s="51" t="s">
        <v>317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>
        <f>ROUND(AD11*(1+AE13),4)</f>
        <v>1235.6724999999999</v>
      </c>
      <c r="AF12" s="94">
        <f t="shared" ref="AF12:AK12" si="0">ROUND(AE12*(1+AF13),4)</f>
        <v>1241.4680000000001</v>
      </c>
      <c r="AG12" s="94">
        <f t="shared" si="0"/>
        <v>1247.2907</v>
      </c>
      <c r="AH12" s="94">
        <f t="shared" si="0"/>
        <v>1253.1406999999999</v>
      </c>
      <c r="AI12" s="94">
        <f t="shared" si="0"/>
        <v>1259.0182</v>
      </c>
      <c r="AJ12" s="94">
        <f t="shared" si="0"/>
        <v>1264.9232</v>
      </c>
      <c r="AK12" s="94">
        <f t="shared" si="0"/>
        <v>1270.8559</v>
      </c>
      <c r="AL12" s="51"/>
      <c r="AM12" s="71"/>
      <c r="AN12" s="71"/>
      <c r="AO12" s="51"/>
    </row>
    <row r="13" spans="1:41" ht="15">
      <c r="B13" s="5"/>
      <c r="M13" s="16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66"/>
      <c r="AD13" s="95"/>
      <c r="AE13" s="70">
        <f>(1+0.057757)^(1/12)-1</f>
        <v>4.6901836754509318E-3</v>
      </c>
      <c r="AF13" s="95">
        <f t="shared" ref="AF13:AK13" si="1">AE13</f>
        <v>4.6901836754509318E-3</v>
      </c>
      <c r="AG13" s="95">
        <f t="shared" si="1"/>
        <v>4.6901836754509318E-3</v>
      </c>
      <c r="AH13" s="95">
        <f t="shared" si="1"/>
        <v>4.6901836754509318E-3</v>
      </c>
      <c r="AI13" s="95">
        <f t="shared" si="1"/>
        <v>4.6901836754509318E-3</v>
      </c>
      <c r="AJ13" s="95">
        <f t="shared" si="1"/>
        <v>4.6901836754509318E-3</v>
      </c>
      <c r="AK13" s="95">
        <f t="shared" si="1"/>
        <v>4.6901836754509318E-3</v>
      </c>
      <c r="AM13" s="28"/>
    </row>
    <row r="14" spans="1:41" ht="15">
      <c r="B14" s="5"/>
      <c r="M14" s="16"/>
      <c r="AC14" s="65"/>
    </row>
    <row r="15" spans="1:41" ht="15">
      <c r="A15" s="7" t="s">
        <v>271</v>
      </c>
      <c r="B15" s="84">
        <v>45292</v>
      </c>
      <c r="C15" s="84">
        <v>45323</v>
      </c>
      <c r="D15" s="84">
        <v>45352</v>
      </c>
      <c r="E15" s="84">
        <v>45383</v>
      </c>
      <c r="F15" s="84">
        <v>45413</v>
      </c>
      <c r="G15" s="84">
        <v>45444</v>
      </c>
      <c r="H15" s="84">
        <v>45474</v>
      </c>
      <c r="I15" s="84">
        <v>45505</v>
      </c>
      <c r="J15" s="84">
        <v>45536</v>
      </c>
      <c r="K15" s="84">
        <v>45566</v>
      </c>
      <c r="L15" s="84">
        <v>45597</v>
      </c>
      <c r="M15" s="84">
        <v>45627</v>
      </c>
      <c r="N15" s="84">
        <v>45658</v>
      </c>
      <c r="O15" s="84">
        <v>45689</v>
      </c>
      <c r="P15" s="84">
        <v>45717</v>
      </c>
      <c r="Q15" s="84">
        <v>45748</v>
      </c>
      <c r="R15" s="84">
        <v>45778</v>
      </c>
      <c r="S15" s="84">
        <v>45809</v>
      </c>
      <c r="T15" s="84">
        <v>45839</v>
      </c>
      <c r="U15" s="84">
        <v>45870</v>
      </c>
      <c r="V15" s="84">
        <v>45901</v>
      </c>
      <c r="W15" s="84">
        <v>45931</v>
      </c>
      <c r="X15" s="84">
        <v>45962</v>
      </c>
      <c r="Y15" s="84">
        <v>45992</v>
      </c>
      <c r="Z15" s="84">
        <v>46023</v>
      </c>
      <c r="AA15" s="84">
        <v>46054</v>
      </c>
      <c r="AB15" s="84">
        <v>46082</v>
      </c>
      <c r="AC15" s="84">
        <v>46113</v>
      </c>
      <c r="AD15" s="84">
        <v>46143</v>
      </c>
      <c r="AE15" s="84">
        <v>46174</v>
      </c>
      <c r="AF15" s="84">
        <v>46204</v>
      </c>
      <c r="AG15" s="84">
        <v>46235</v>
      </c>
      <c r="AH15" s="84">
        <v>46266</v>
      </c>
      <c r="AI15" s="84">
        <v>46296</v>
      </c>
      <c r="AJ15" s="84">
        <v>46327</v>
      </c>
      <c r="AK15" s="84">
        <v>46357</v>
      </c>
    </row>
    <row r="16" spans="1:41">
      <c r="A16" t="s">
        <v>271</v>
      </c>
      <c r="B16" s="26">
        <v>9.7000000000000003E-3</v>
      </c>
      <c r="C16" s="26">
        <v>8.0000000000000002E-3</v>
      </c>
      <c r="D16" s="26">
        <v>8.3000000000000001E-3</v>
      </c>
      <c r="E16" s="26">
        <v>8.8999999999999999E-3</v>
      </c>
      <c r="F16" s="26">
        <v>8.3000000000000001E-3</v>
      </c>
      <c r="G16" s="26">
        <v>7.9000000000000008E-3</v>
      </c>
      <c r="H16" s="26">
        <v>9.1000000000000004E-3</v>
      </c>
      <c r="I16" s="26">
        <v>8.6999999999999994E-3</v>
      </c>
      <c r="J16" s="26">
        <v>8.3999999999999995E-3</v>
      </c>
      <c r="K16" s="26">
        <v>9.2999999999999992E-3</v>
      </c>
      <c r="L16" s="26">
        <v>7.9000000000000008E-3</v>
      </c>
      <c r="M16" s="26">
        <v>9.2999999999999992E-3</v>
      </c>
      <c r="N16" s="26">
        <v>1.01E-2</v>
      </c>
      <c r="O16" s="26">
        <v>9.9000000000000008E-3</v>
      </c>
      <c r="P16" s="26">
        <v>9.5999999999999992E-3</v>
      </c>
      <c r="Q16" s="26">
        <v>1.06E-2</v>
      </c>
      <c r="R16" s="26">
        <v>1.14E-2</v>
      </c>
      <c r="S16" s="26">
        <v>1.0999999999999999E-2</v>
      </c>
      <c r="T16" s="26">
        <v>1.2800000000000001E-2</v>
      </c>
      <c r="U16" s="26">
        <v>1.1599999999999999E-2</v>
      </c>
      <c r="V16" s="26">
        <v>1.2199999999999999E-2</v>
      </c>
      <c r="W16" s="26">
        <v>1.2800000000000001E-2</v>
      </c>
      <c r="X16" s="26">
        <v>1.0500000000000001E-2</v>
      </c>
      <c r="Y16" s="69">
        <v>1.2200000000000001E-2</v>
      </c>
      <c r="Z16" s="69">
        <v>1.1599999999999999E-2</v>
      </c>
      <c r="AA16" s="69">
        <v>0.01</v>
      </c>
      <c r="AB16" s="69">
        <v>1.21E-2</v>
      </c>
      <c r="AC16" s="69">
        <v>1.09E-2</v>
      </c>
      <c r="AD16" s="69">
        <v>1.0700000000000001E-2</v>
      </c>
    </row>
    <row r="17" spans="2:37" ht="15">
      <c r="B17" s="5"/>
      <c r="M17" s="16"/>
      <c r="Y17" s="4"/>
      <c r="Z17" s="4"/>
      <c r="AA17" s="4"/>
      <c r="AB17" s="4"/>
      <c r="AC17" s="4"/>
    </row>
    <row r="18" spans="2:37" ht="15">
      <c r="B18" s="5"/>
      <c r="M18" s="16"/>
      <c r="Q18" s="37"/>
      <c r="R18" s="37"/>
      <c r="S18" s="37"/>
      <c r="T18" s="37"/>
      <c r="U18" s="37"/>
      <c r="V18" s="37"/>
      <c r="W18" s="96"/>
      <c r="X18" s="96"/>
      <c r="Y18" s="97"/>
      <c r="Z18" s="97"/>
      <c r="AA18" s="97"/>
      <c r="AB18" s="97"/>
      <c r="AC18" s="97"/>
      <c r="AD18" s="96"/>
      <c r="AE18" s="96"/>
      <c r="AF18" s="96"/>
      <c r="AG18" s="96"/>
      <c r="AH18" s="96"/>
      <c r="AI18" s="96"/>
      <c r="AJ18" s="96"/>
      <c r="AK18" s="96"/>
    </row>
    <row r="19" spans="2:37">
      <c r="K19" s="1"/>
      <c r="M19" s="55"/>
      <c r="AD19" s="4"/>
      <c r="AE19" s="4"/>
      <c r="AF19" s="4"/>
      <c r="AG19" s="4"/>
      <c r="AH19" s="4"/>
      <c r="AI19" s="4"/>
      <c r="AJ19" s="4"/>
      <c r="AK19" s="4"/>
    </row>
    <row r="20" spans="2:37" ht="15">
      <c r="C20" s="17"/>
      <c r="K20" s="1"/>
      <c r="AD20" s="4"/>
      <c r="AE20" s="4"/>
      <c r="AF20" s="4"/>
      <c r="AG20" s="4"/>
      <c r="AH20" s="4"/>
      <c r="AI20" s="4"/>
      <c r="AJ20" s="4"/>
      <c r="AK20" s="4"/>
    </row>
    <row r="21" spans="2:37" ht="15">
      <c r="B21" s="5"/>
      <c r="C21" s="17"/>
      <c r="K21" s="1"/>
      <c r="M21" s="55"/>
    </row>
    <row r="22" spans="2:37" ht="15">
      <c r="B22" s="5"/>
      <c r="C22" s="17"/>
      <c r="K22" s="1"/>
    </row>
    <row r="23" spans="2:37" ht="15">
      <c r="B23" s="5"/>
      <c r="C23" s="17"/>
      <c r="K23" s="1"/>
      <c r="M23" s="55"/>
    </row>
    <row r="24" spans="2:37" ht="15">
      <c r="B24" s="5"/>
      <c r="C24" s="17"/>
    </row>
    <row r="25" spans="2:37" ht="15">
      <c r="B25" s="5"/>
      <c r="C25" s="17"/>
      <c r="K25" s="1"/>
      <c r="M25" s="55"/>
    </row>
    <row r="26" spans="2:37" ht="15">
      <c r="B26" s="5"/>
      <c r="C26" s="17"/>
      <c r="Y26" s="57"/>
    </row>
    <row r="27" spans="2:37" ht="15">
      <c r="B27" s="5"/>
      <c r="C27" s="17"/>
      <c r="K27" s="1"/>
      <c r="M27" s="55"/>
    </row>
    <row r="28" spans="2:37" ht="15">
      <c r="B28" s="5"/>
      <c r="C28" s="17"/>
      <c r="M28" s="55"/>
    </row>
    <row r="29" spans="2:37" ht="15">
      <c r="B29" s="5"/>
      <c r="C29" s="17"/>
      <c r="K29" s="1"/>
    </row>
    <row r="30" spans="2:37" ht="15">
      <c r="B30" s="5"/>
      <c r="C30" s="17"/>
    </row>
    <row r="31" spans="2:37">
      <c r="B31" s="5"/>
    </row>
  </sheetData>
  <pageMargins left="0.7" right="0.7" top="0.75" bottom="0.75" header="0.3" footer="0.3"/>
  <pageSetup paperSize="9" orientation="portrait" r:id="rId1"/>
  <headerFooter>
    <oddHeader>&amp;L&amp;"Calibri"&amp;10&amp;K000000 Interno&amp;1#_x000D_</oddHeader>
    <oddFooter>&amp;L_x000D_&amp;1#&amp;"Calibri"&amp;10&amp;K000000 Interno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79998168889431442"/>
  </sheetPr>
  <dimension ref="A1:S706"/>
  <sheetViews>
    <sheetView workbookViewId="0">
      <pane ySplit="1" topLeftCell="A24" activePane="bottomLeft" state="frozen"/>
      <selection pane="bottomLeft" activeCell="L24" sqref="L24"/>
    </sheetView>
  </sheetViews>
  <sheetFormatPr defaultRowHeight="14.25"/>
  <cols>
    <col min="1" max="1" width="10.875" customWidth="1"/>
    <col min="2" max="2" width="11.625" style="28" customWidth="1"/>
    <col min="4" max="4" width="7.875" customWidth="1"/>
    <col min="5" max="5" width="11.375" style="28" customWidth="1"/>
    <col min="6" max="6" width="10.625" style="28" customWidth="1"/>
    <col min="7" max="7" width="11.375" style="28" customWidth="1"/>
    <col min="8" max="8" width="9.625" customWidth="1"/>
    <col min="9" max="9" width="11.25" style="28" customWidth="1"/>
    <col min="10" max="10" width="11.75" style="39" customWidth="1"/>
    <col min="11" max="11" width="10" style="28" customWidth="1"/>
    <col min="12" max="12" width="9.875" bestFit="1" customWidth="1"/>
    <col min="13" max="13" width="12.375" style="33" customWidth="1"/>
    <col min="14" max="14" width="12" style="28" customWidth="1"/>
    <col min="15" max="15" width="16.625" style="28" customWidth="1"/>
    <col min="16" max="16" width="16.75" style="28" customWidth="1"/>
    <col min="17" max="17" width="12.375" style="28" customWidth="1"/>
    <col min="18" max="18" width="14.25" customWidth="1"/>
  </cols>
  <sheetData>
    <row r="1" spans="1:19" ht="45.6" customHeight="1">
      <c r="A1" s="36" t="s">
        <v>342</v>
      </c>
      <c r="B1" s="36" t="s">
        <v>343</v>
      </c>
      <c r="D1" s="36" t="s">
        <v>344</v>
      </c>
      <c r="E1" s="36" t="s">
        <v>345</v>
      </c>
      <c r="F1" s="36" t="s">
        <v>346</v>
      </c>
      <c r="G1" s="56" t="s">
        <v>347</v>
      </c>
      <c r="I1" s="36" t="s">
        <v>348</v>
      </c>
      <c r="J1" s="36" t="s">
        <v>349</v>
      </c>
      <c r="K1" s="46" t="s">
        <v>350</v>
      </c>
      <c r="L1" s="6"/>
      <c r="M1" s="36" t="s">
        <v>351</v>
      </c>
      <c r="N1" s="36" t="s">
        <v>345</v>
      </c>
      <c r="O1" s="56" t="s">
        <v>352</v>
      </c>
      <c r="P1" s="36" t="s">
        <v>353</v>
      </c>
      <c r="Q1" s="36" t="s">
        <v>354</v>
      </c>
      <c r="R1" s="6"/>
      <c r="S1" s="6"/>
    </row>
    <row r="2" spans="1:19">
      <c r="A2" s="19">
        <v>45201</v>
      </c>
      <c r="B2" s="38">
        <v>5.0678999999999998</v>
      </c>
      <c r="D2" s="1">
        <v>45292</v>
      </c>
      <c r="E2" s="27" t="s">
        <v>355</v>
      </c>
      <c r="F2" s="38">
        <f>AVERAGE(B63:B84)</f>
        <v>4.9143954545454553</v>
      </c>
      <c r="G2" s="38"/>
      <c r="H2" s="20"/>
      <c r="I2" s="47">
        <v>45201</v>
      </c>
      <c r="J2" s="39">
        <v>90.71</v>
      </c>
      <c r="K2" s="38"/>
      <c r="L2" s="20"/>
      <c r="M2" s="44">
        <v>45292</v>
      </c>
      <c r="N2" s="27" t="s">
        <v>355</v>
      </c>
      <c r="O2" s="38"/>
      <c r="P2" s="38">
        <v>86.746600000000001</v>
      </c>
      <c r="Q2" s="38">
        <v>80.12</v>
      </c>
      <c r="R2" s="20"/>
    </row>
    <row r="3" spans="1:19">
      <c r="A3" s="19">
        <v>45202</v>
      </c>
      <c r="B3" s="38">
        <v>5.1100000000000003</v>
      </c>
      <c r="D3" s="1">
        <v>45323</v>
      </c>
      <c r="E3" s="27" t="s">
        <v>355</v>
      </c>
      <c r="F3" s="38">
        <f>AVERAGE(B85:B103)</f>
        <v>4.9643894736842107</v>
      </c>
      <c r="G3" s="38">
        <f>ROUND(AVERAGE(B2:B62),4)</f>
        <v>4.9553000000000003</v>
      </c>
      <c r="H3" s="20"/>
      <c r="I3" s="47">
        <v>45202</v>
      </c>
      <c r="J3" s="39">
        <v>90.92</v>
      </c>
      <c r="K3" s="40"/>
      <c r="L3" s="21"/>
      <c r="M3" s="44">
        <v>45323</v>
      </c>
      <c r="N3" s="27" t="s">
        <v>355</v>
      </c>
      <c r="O3" s="38">
        <f>ROUND(AVERAGE(J2:J65),4)</f>
        <v>82.8536</v>
      </c>
      <c r="P3" s="38">
        <v>84.335099999999997</v>
      </c>
      <c r="Q3" s="38">
        <v>83.48</v>
      </c>
      <c r="R3" s="20"/>
    </row>
    <row r="4" spans="1:19">
      <c r="A4" s="19">
        <v>45203</v>
      </c>
      <c r="B4" s="38">
        <v>5.1525999999999996</v>
      </c>
      <c r="D4" s="1">
        <v>45352</v>
      </c>
      <c r="E4" s="27" t="s">
        <v>355</v>
      </c>
      <c r="F4" s="38">
        <f>AVERAGE(B104:B123)</f>
        <v>4.9801349999999998</v>
      </c>
      <c r="G4" s="38">
        <f>G3</f>
        <v>4.9553000000000003</v>
      </c>
      <c r="H4" s="20"/>
      <c r="I4" s="47">
        <v>45203</v>
      </c>
      <c r="J4" s="39">
        <v>85.81</v>
      </c>
      <c r="K4" s="40"/>
      <c r="L4" s="21"/>
      <c r="M4" s="44">
        <v>45352</v>
      </c>
      <c r="N4" s="27" t="s">
        <v>355</v>
      </c>
      <c r="O4" s="38">
        <f>O3</f>
        <v>82.8536</v>
      </c>
      <c r="P4" s="38">
        <v>84.335099999999997</v>
      </c>
      <c r="Q4" s="38">
        <v>85.41</v>
      </c>
      <c r="R4" s="20"/>
    </row>
    <row r="5" spans="1:19">
      <c r="A5" s="19">
        <v>45204</v>
      </c>
      <c r="B5" s="38">
        <v>5.1712999999999996</v>
      </c>
      <c r="D5" s="1">
        <v>45383</v>
      </c>
      <c r="E5" s="27" t="s">
        <v>355</v>
      </c>
      <c r="F5" s="38">
        <f>AVERAGE(B124:B145)</f>
        <v>5.129095454545455</v>
      </c>
      <c r="G5" s="38">
        <f>G4</f>
        <v>4.9553000000000003</v>
      </c>
      <c r="H5" s="20"/>
      <c r="I5" s="47">
        <v>45204</v>
      </c>
      <c r="J5" s="39">
        <v>84.07</v>
      </c>
      <c r="K5" s="40"/>
      <c r="L5" s="21"/>
      <c r="M5" s="44">
        <v>45383</v>
      </c>
      <c r="N5" s="27" t="s">
        <v>355</v>
      </c>
      <c r="O5" s="38">
        <f>O4</f>
        <v>82.8536</v>
      </c>
      <c r="P5" s="38">
        <v>84.335099999999997</v>
      </c>
      <c r="Q5" s="38">
        <v>89.94</v>
      </c>
      <c r="R5" s="20"/>
    </row>
    <row r="6" spans="1:19">
      <c r="A6" s="19">
        <v>45205</v>
      </c>
      <c r="B6" s="38">
        <v>5.1917999999999997</v>
      </c>
      <c r="D6" s="1">
        <v>45413</v>
      </c>
      <c r="E6" s="27" t="s">
        <v>355</v>
      </c>
      <c r="F6" s="38">
        <f>AVERAGE(B146:B166)</f>
        <v>5.1330476190476206</v>
      </c>
      <c r="G6" s="38">
        <f>ROUND(AVERAGE(B63:B123),4)</f>
        <v>4.9515000000000002</v>
      </c>
      <c r="H6" s="20"/>
      <c r="I6" s="47">
        <v>45205</v>
      </c>
      <c r="J6" s="39">
        <v>84.58</v>
      </c>
      <c r="K6" s="40"/>
      <c r="L6" s="21"/>
      <c r="M6" s="44">
        <v>45413</v>
      </c>
      <c r="N6" s="27" t="s">
        <v>355</v>
      </c>
      <c r="O6" s="38">
        <f>ROUND(AVERAGE(J66:J128),4)</f>
        <v>81.756200000000007</v>
      </c>
      <c r="P6" s="38">
        <v>83.162700000000001</v>
      </c>
      <c r="Q6" s="38">
        <v>81.75</v>
      </c>
      <c r="R6" s="20"/>
    </row>
    <row r="7" spans="1:19">
      <c r="A7" s="19">
        <v>45208</v>
      </c>
      <c r="B7" s="38">
        <v>5.1665999999999999</v>
      </c>
      <c r="D7" s="1">
        <v>45444</v>
      </c>
      <c r="E7" s="27" t="s">
        <v>355</v>
      </c>
      <c r="F7" s="38">
        <f>AVERAGE(B167:B186)</f>
        <v>5.3889749999999994</v>
      </c>
      <c r="G7" s="38">
        <f>G6</f>
        <v>4.9515000000000002</v>
      </c>
      <c r="H7" s="20"/>
      <c r="I7" s="47">
        <v>45208</v>
      </c>
      <c r="J7" s="39">
        <v>88.15</v>
      </c>
      <c r="K7" s="40"/>
      <c r="L7" s="21"/>
      <c r="M7" s="44">
        <v>45444</v>
      </c>
      <c r="N7" s="27" t="s">
        <v>355</v>
      </c>
      <c r="O7" s="38">
        <f>O6</f>
        <v>81.756200000000007</v>
      </c>
      <c r="P7" s="38">
        <v>83.162700000000001</v>
      </c>
      <c r="Q7" s="38">
        <v>82.25</v>
      </c>
      <c r="R7" s="20"/>
    </row>
    <row r="8" spans="1:19">
      <c r="A8" s="19">
        <v>45209</v>
      </c>
      <c r="B8" s="38">
        <v>5.0861999999999998</v>
      </c>
      <c r="D8" s="1">
        <v>45474</v>
      </c>
      <c r="E8" s="27" t="s">
        <v>355</v>
      </c>
      <c r="F8" s="38">
        <f>AVERAGE(B187:B209)</f>
        <v>5.5420478260869555</v>
      </c>
      <c r="G8" s="38">
        <f>G7</f>
        <v>4.9515000000000002</v>
      </c>
      <c r="H8" s="20"/>
      <c r="I8" s="47">
        <v>45209</v>
      </c>
      <c r="J8" s="39">
        <v>87.65</v>
      </c>
      <c r="M8" s="44">
        <v>45474</v>
      </c>
      <c r="N8" s="27" t="s">
        <v>355</v>
      </c>
      <c r="O8" s="38">
        <f>O7</f>
        <v>81.756200000000007</v>
      </c>
      <c r="P8" s="38">
        <v>83.162700000000001</v>
      </c>
      <c r="Q8" s="38">
        <v>85.15</v>
      </c>
      <c r="R8" s="20"/>
      <c r="S8" s="15"/>
    </row>
    <row r="9" spans="1:19">
      <c r="A9" s="19">
        <v>45210</v>
      </c>
      <c r="B9" s="38">
        <v>5.0495999999999999</v>
      </c>
      <c r="D9" s="1">
        <v>45505</v>
      </c>
      <c r="E9" s="27" t="s">
        <v>355</v>
      </c>
      <c r="F9" s="38">
        <f>AVERAGE(B210:B231)</f>
        <v>5.5526136363636356</v>
      </c>
      <c r="G9" s="38">
        <f>ROUND(AVERAGE(B124:B186),4)</f>
        <v>5.2129000000000003</v>
      </c>
      <c r="H9" s="20"/>
      <c r="I9" s="47">
        <v>45210</v>
      </c>
      <c r="J9" s="39">
        <v>85.82</v>
      </c>
      <c r="M9" s="44">
        <v>45505</v>
      </c>
      <c r="N9" s="27" t="s">
        <v>355</v>
      </c>
      <c r="O9" s="38">
        <f>ROUND(AVERAGE(J129:J193),4)</f>
        <v>85.0291</v>
      </c>
      <c r="P9" s="38">
        <v>84.972800000000007</v>
      </c>
      <c r="Q9" s="38">
        <v>80.36</v>
      </c>
      <c r="R9" s="20"/>
    </row>
    <row r="10" spans="1:19">
      <c r="A10" s="19">
        <v>45212</v>
      </c>
      <c r="B10" s="38">
        <v>5.0625</v>
      </c>
      <c r="D10" s="1">
        <v>45536</v>
      </c>
      <c r="E10" s="27" t="s">
        <v>355</v>
      </c>
      <c r="F10" s="38">
        <f>AVERAGE(B232:B252)</f>
        <v>5.5415666666666663</v>
      </c>
      <c r="G10" s="38">
        <f>G9</f>
        <v>5.2129000000000003</v>
      </c>
      <c r="H10" s="20"/>
      <c r="I10" s="47">
        <v>45211</v>
      </c>
      <c r="J10" s="39">
        <v>86</v>
      </c>
      <c r="M10" s="44">
        <v>45536</v>
      </c>
      <c r="N10" s="27" t="s">
        <v>355</v>
      </c>
      <c r="O10" s="38">
        <f>O9</f>
        <v>85.0291</v>
      </c>
      <c r="P10" s="38">
        <v>84.972800000000007</v>
      </c>
      <c r="Q10" s="38">
        <v>74.02</v>
      </c>
      <c r="R10" s="20"/>
    </row>
    <row r="11" spans="1:19">
      <c r="A11" s="19">
        <v>45215</v>
      </c>
      <c r="B11" s="38">
        <v>5.0617999999999999</v>
      </c>
      <c r="D11" s="1">
        <v>45566</v>
      </c>
      <c r="E11" s="27" t="s">
        <v>355</v>
      </c>
      <c r="F11" s="38">
        <f>AVERAGE(B253:B275)</f>
        <v>5.6241086956521738</v>
      </c>
      <c r="G11" s="38">
        <f>G10</f>
        <v>5.2129000000000003</v>
      </c>
      <c r="H11" s="20"/>
      <c r="I11" s="47">
        <v>45212</v>
      </c>
      <c r="J11" s="39">
        <v>90.89</v>
      </c>
      <c r="M11" s="44">
        <v>45566</v>
      </c>
      <c r="N11" s="27" t="s">
        <v>355</v>
      </c>
      <c r="O11" s="38">
        <f>O10</f>
        <v>85.0291</v>
      </c>
      <c r="P11" s="38">
        <v>84.972800000000007</v>
      </c>
      <c r="Q11" s="38">
        <v>75.63</v>
      </c>
      <c r="R11" s="20"/>
    </row>
    <row r="12" spans="1:19">
      <c r="A12" s="19">
        <v>45216</v>
      </c>
      <c r="B12" s="38">
        <v>5.0384000000000002</v>
      </c>
      <c r="D12" s="1">
        <v>45597</v>
      </c>
      <c r="E12" s="27" t="s">
        <v>355</v>
      </c>
      <c r="F12" s="38">
        <f>AVERAGE(B276:B294)</f>
        <v>5.8070578947368423</v>
      </c>
      <c r="G12" s="38">
        <f>ROUND(AVERAGE(B187:B252),4)</f>
        <v>5.5453999999999999</v>
      </c>
      <c r="H12" s="20"/>
      <c r="I12" s="47">
        <v>45215</v>
      </c>
      <c r="J12" s="39">
        <v>89.65</v>
      </c>
      <c r="M12" s="44">
        <v>45597</v>
      </c>
      <c r="N12" s="27" t="s">
        <v>355</v>
      </c>
      <c r="O12" s="38">
        <f>ROUND(AVERAGE(J194:J259),4)</f>
        <v>78.708500000000001</v>
      </c>
      <c r="P12" s="38">
        <v>80.338300000000004</v>
      </c>
      <c r="Q12" s="38">
        <v>74.349999999999994</v>
      </c>
      <c r="R12" s="20"/>
    </row>
    <row r="13" spans="1:19">
      <c r="A13" s="19">
        <v>45217</v>
      </c>
      <c r="B13" s="38">
        <v>5.0568</v>
      </c>
      <c r="D13" s="1">
        <v>45627</v>
      </c>
      <c r="E13" s="27" t="s">
        <v>355</v>
      </c>
      <c r="F13" s="38">
        <f>AVERAGE(B295:B315)</f>
        <v>6.097028571428571</v>
      </c>
      <c r="G13" s="38">
        <f>G12</f>
        <v>5.5453999999999999</v>
      </c>
      <c r="H13" s="20"/>
      <c r="I13" s="47">
        <v>45216</v>
      </c>
      <c r="J13" s="39">
        <v>89.9</v>
      </c>
      <c r="M13" s="44">
        <v>45627</v>
      </c>
      <c r="N13" s="27" t="s">
        <v>355</v>
      </c>
      <c r="O13" s="38">
        <f>O12</f>
        <v>78.708500000000001</v>
      </c>
      <c r="P13" s="38">
        <v>80.338300000000004</v>
      </c>
      <c r="Q13" s="38">
        <v>73.86</v>
      </c>
      <c r="R13" s="20"/>
    </row>
    <row r="14" spans="1:19">
      <c r="A14" s="19">
        <v>45218</v>
      </c>
      <c r="B14" s="38">
        <v>5.0540000000000003</v>
      </c>
      <c r="D14" s="1">
        <v>45658</v>
      </c>
      <c r="E14" s="27" t="s">
        <v>355</v>
      </c>
      <c r="F14" s="38">
        <f>AVERAGE(B316:B336)</f>
        <v>6.0308999999999999</v>
      </c>
      <c r="G14" s="38">
        <f>G13</f>
        <v>5.5453999999999999</v>
      </c>
      <c r="H14" s="20"/>
      <c r="I14" s="47">
        <v>45217</v>
      </c>
      <c r="J14" s="39">
        <v>91.5</v>
      </c>
      <c r="M14" s="44">
        <v>45658</v>
      </c>
      <c r="N14" s="27" t="s">
        <v>355</v>
      </c>
      <c r="O14" s="38">
        <f>O13</f>
        <v>78.708500000000001</v>
      </c>
      <c r="P14" s="38">
        <v>80.338300000000004</v>
      </c>
      <c r="Q14" s="38">
        <v>79.27</v>
      </c>
      <c r="R14" s="20"/>
    </row>
    <row r="15" spans="1:19">
      <c r="A15" s="19">
        <v>45219</v>
      </c>
      <c r="B15" s="38">
        <v>5.0528000000000004</v>
      </c>
      <c r="D15" s="1">
        <v>45689</v>
      </c>
      <c r="E15" s="27" t="s">
        <v>355</v>
      </c>
      <c r="F15" s="38">
        <f>AVERAGE(B338:B357)</f>
        <v>5.7656449999999992</v>
      </c>
      <c r="G15" s="38">
        <f>ROUND(AVERAGE(B253:B315),4)</f>
        <v>5.8369</v>
      </c>
      <c r="H15" s="20"/>
      <c r="I15" s="47">
        <v>45218</v>
      </c>
      <c r="J15" s="39">
        <v>92.38</v>
      </c>
      <c r="M15" s="44">
        <v>45689</v>
      </c>
      <c r="N15" s="27" t="s">
        <v>355</v>
      </c>
      <c r="O15" s="38">
        <f>ROUND(AVERAGE(J260:J324),4)</f>
        <v>74.012200000000007</v>
      </c>
      <c r="P15" s="38">
        <v>74.7333</v>
      </c>
      <c r="Q15" s="38">
        <v>75.44</v>
      </c>
      <c r="R15" s="20"/>
    </row>
    <row r="16" spans="1:19">
      <c r="A16" s="19">
        <v>45222</v>
      </c>
      <c r="B16" s="38">
        <v>5.0164</v>
      </c>
      <c r="D16" s="1">
        <v>45717</v>
      </c>
      <c r="E16" s="27" t="s">
        <v>355</v>
      </c>
      <c r="F16" s="38">
        <f>AVERAGE(B358:B376)</f>
        <v>5.74681052631579</v>
      </c>
      <c r="G16" s="38">
        <f>G15</f>
        <v>5.8369</v>
      </c>
      <c r="H16" s="20"/>
      <c r="I16" s="47">
        <v>45219</v>
      </c>
      <c r="J16" s="39">
        <v>92.16</v>
      </c>
      <c r="M16" s="44">
        <v>45717</v>
      </c>
      <c r="N16" s="27" t="s">
        <v>355</v>
      </c>
      <c r="O16" s="38">
        <f>O15</f>
        <v>74.012200000000007</v>
      </c>
      <c r="P16" s="38">
        <v>74.7333</v>
      </c>
      <c r="Q16" s="38">
        <v>72.73</v>
      </c>
      <c r="R16" s="20"/>
    </row>
    <row r="17" spans="1:18">
      <c r="A17" s="19">
        <v>45223</v>
      </c>
      <c r="B17" s="38">
        <v>5.0065</v>
      </c>
      <c r="D17" s="1">
        <v>45748</v>
      </c>
      <c r="E17" s="27" t="s">
        <v>355</v>
      </c>
      <c r="F17" s="38">
        <f>AVERAGE(B377:B396)</f>
        <v>5.7836749999999997</v>
      </c>
      <c r="G17" s="38">
        <f>G16</f>
        <v>5.8369</v>
      </c>
      <c r="H17" s="20"/>
      <c r="I17" s="47">
        <v>45222</v>
      </c>
      <c r="J17" s="39">
        <v>89.83</v>
      </c>
      <c r="M17" s="44">
        <v>45748</v>
      </c>
      <c r="N17" s="27" t="s">
        <v>355</v>
      </c>
      <c r="O17" s="38">
        <f>O16</f>
        <v>74.012200000000007</v>
      </c>
      <c r="P17" s="38">
        <v>74.7333</v>
      </c>
      <c r="Q17" s="38">
        <v>68.134500000000003</v>
      </c>
      <c r="R17" s="20"/>
    </row>
    <row r="18" spans="1:18">
      <c r="A18" s="19">
        <v>45224</v>
      </c>
      <c r="B18" s="38">
        <v>4.9981</v>
      </c>
      <c r="D18" s="1">
        <v>45778</v>
      </c>
      <c r="E18" s="27" t="s">
        <v>355</v>
      </c>
      <c r="F18" s="38">
        <f>AVERAGE(B397:B417)</f>
        <v>5.6673857142857154</v>
      </c>
      <c r="G18" s="38">
        <f>ROUND(AVERAGE(B316:B376),4)</f>
        <v>5.8521999999999998</v>
      </c>
      <c r="H18" s="21"/>
      <c r="I18" s="47">
        <v>45223</v>
      </c>
      <c r="J18" s="39">
        <v>88.07</v>
      </c>
      <c r="M18" s="44">
        <v>45778</v>
      </c>
      <c r="N18" s="27" t="s">
        <v>355</v>
      </c>
      <c r="O18" s="38">
        <f>ROUND(AVERAGE(J325:J387),4)</f>
        <v>74.977500000000006</v>
      </c>
      <c r="P18" s="38">
        <v>75.728200000000001</v>
      </c>
      <c r="Q18" s="38">
        <v>64.453000000000003</v>
      </c>
      <c r="R18" s="21"/>
    </row>
    <row r="19" spans="1:18">
      <c r="A19" s="19">
        <v>45225</v>
      </c>
      <c r="B19" s="38">
        <v>5.0054999999999996</v>
      </c>
      <c r="D19" s="1">
        <v>45809</v>
      </c>
      <c r="E19" s="27" t="s">
        <v>355</v>
      </c>
      <c r="F19" s="38">
        <f>AVERAGE(B418:B437)</f>
        <v>5.5470549999999985</v>
      </c>
      <c r="G19" s="38">
        <f>G18</f>
        <v>5.8521999999999998</v>
      </c>
      <c r="H19" s="21"/>
      <c r="I19" s="47">
        <v>45224</v>
      </c>
      <c r="J19" s="39">
        <v>90.13</v>
      </c>
      <c r="M19" s="44">
        <v>45809</v>
      </c>
      <c r="N19" s="27" t="s">
        <v>355</v>
      </c>
      <c r="O19" s="38">
        <f>O18</f>
        <v>74.977500000000006</v>
      </c>
      <c r="P19" s="38">
        <v>75.728200000000001</v>
      </c>
      <c r="Q19" s="38">
        <v>71.444761904761918</v>
      </c>
      <c r="R19" s="21"/>
    </row>
    <row r="20" spans="1:18">
      <c r="A20" s="19">
        <v>45226</v>
      </c>
      <c r="B20" s="38">
        <v>4.9480000000000004</v>
      </c>
      <c r="D20" s="1">
        <v>45839</v>
      </c>
      <c r="E20" s="27" t="s">
        <v>355</v>
      </c>
      <c r="F20" s="38">
        <f>AVERAGE(B438:B460)</f>
        <v>5.528491304347825</v>
      </c>
      <c r="G20" s="38">
        <f>G19</f>
        <v>5.8521999999999998</v>
      </c>
      <c r="H20" s="21"/>
      <c r="I20" s="47">
        <v>45225</v>
      </c>
      <c r="J20" s="39">
        <v>87.93</v>
      </c>
      <c r="M20" s="44">
        <v>45839</v>
      </c>
      <c r="N20" s="27" t="s">
        <v>355</v>
      </c>
      <c r="O20" s="38">
        <f>O19</f>
        <v>74.977500000000006</v>
      </c>
      <c r="P20" s="38">
        <v>75.728200000000001</v>
      </c>
      <c r="Q20" s="38">
        <v>71.041300000000007</v>
      </c>
      <c r="R20" s="21"/>
    </row>
    <row r="21" spans="1:18">
      <c r="A21" s="19">
        <v>45229</v>
      </c>
      <c r="B21" s="38">
        <v>5.0073999999999996</v>
      </c>
      <c r="D21" s="1">
        <v>45870</v>
      </c>
      <c r="E21" s="27" t="s">
        <v>355</v>
      </c>
      <c r="F21" s="38">
        <f>AVERAGE(B461:B481)</f>
        <v>5.4469238095238097</v>
      </c>
      <c r="G21" s="38">
        <f>ROUND(AVERAGE(B377:B437),4)</f>
        <v>5.6661000000000001</v>
      </c>
      <c r="H21" s="21"/>
      <c r="I21" s="47">
        <v>45226</v>
      </c>
      <c r="J21" s="39">
        <v>90.48</v>
      </c>
      <c r="M21" s="44">
        <v>45870</v>
      </c>
      <c r="N21" s="27" t="s">
        <v>355</v>
      </c>
      <c r="O21" s="38">
        <f>ROUND(AVERAGE(J388:J451),4)</f>
        <v>66.7119</v>
      </c>
      <c r="P21" s="38">
        <v>67.884</v>
      </c>
      <c r="Q21" s="38">
        <v>67.87</v>
      </c>
      <c r="R21" s="21"/>
    </row>
    <row r="22" spans="1:18">
      <c r="A22" s="19">
        <v>45230</v>
      </c>
      <c r="B22" s="38">
        <v>5.0575000000000001</v>
      </c>
      <c r="D22" s="1">
        <v>45901</v>
      </c>
      <c r="E22" s="27" t="s">
        <v>355</v>
      </c>
      <c r="F22" s="38">
        <f>AVERAGE(B482:B503)</f>
        <v>5.3674090909090912</v>
      </c>
      <c r="G22" s="38">
        <f>G21</f>
        <v>5.6661000000000001</v>
      </c>
      <c r="H22" s="21"/>
      <c r="I22" s="47">
        <v>45229</v>
      </c>
      <c r="J22" s="39">
        <v>87.45</v>
      </c>
      <c r="M22" s="44">
        <v>45901</v>
      </c>
      <c r="N22" s="27" t="s">
        <v>355</v>
      </c>
      <c r="O22" s="38">
        <f>O21</f>
        <v>66.7119</v>
      </c>
      <c r="P22" s="38">
        <v>67.884</v>
      </c>
      <c r="Q22" s="38">
        <v>67.985500000000002</v>
      </c>
      <c r="R22" s="21"/>
    </row>
    <row r="23" spans="1:18">
      <c r="A23" s="19">
        <v>45231</v>
      </c>
      <c r="B23" s="38">
        <v>5.0194000000000001</v>
      </c>
      <c r="D23" s="1">
        <v>45931</v>
      </c>
      <c r="E23" s="27" t="s">
        <v>355</v>
      </c>
      <c r="F23" s="38">
        <f>AVERAGE(B504:B526)</f>
        <v>5.3855260869565207</v>
      </c>
      <c r="G23" s="38">
        <f>G22</f>
        <v>5.6661000000000001</v>
      </c>
      <c r="I23" s="47">
        <v>45230</v>
      </c>
      <c r="J23" s="39">
        <v>87.41</v>
      </c>
      <c r="M23" s="44">
        <v>45931</v>
      </c>
      <c r="N23" s="27" t="s">
        <v>355</v>
      </c>
      <c r="O23" s="38">
        <f>O22</f>
        <v>66.7119</v>
      </c>
      <c r="P23" s="38">
        <v>67.884</v>
      </c>
      <c r="Q23" s="38">
        <v>64.543499999999995</v>
      </c>
    </row>
    <row r="24" spans="1:18">
      <c r="A24" s="19">
        <v>45233</v>
      </c>
      <c r="B24" s="38">
        <v>4.891</v>
      </c>
      <c r="D24" s="1">
        <v>45962</v>
      </c>
      <c r="E24" s="27" t="s">
        <v>355</v>
      </c>
      <c r="F24" s="38">
        <f>AVERAGE(B527:B545)</f>
        <v>5.3408526315789482</v>
      </c>
      <c r="G24" s="38">
        <f>ROUND(AVERAGE(B438:B503),4)</f>
        <v>5.4488000000000003</v>
      </c>
      <c r="I24" s="47">
        <v>45231</v>
      </c>
      <c r="J24" s="39">
        <v>84.63</v>
      </c>
      <c r="M24" s="44">
        <v>45962</v>
      </c>
      <c r="N24" s="27" t="s">
        <v>355</v>
      </c>
      <c r="O24" s="38">
        <f>ROUND(AVERAGE(J452:J517),4)</f>
        <v>68.165000000000006</v>
      </c>
      <c r="P24" s="38">
        <v>69.1267</v>
      </c>
      <c r="Q24" s="38">
        <v>63.796999999999997</v>
      </c>
    </row>
    <row r="25" spans="1:18">
      <c r="A25" s="19">
        <v>45236</v>
      </c>
      <c r="B25" s="38">
        <v>4.8998999999999997</v>
      </c>
      <c r="D25" s="1">
        <v>45992</v>
      </c>
      <c r="E25" s="27" t="s">
        <v>355</v>
      </c>
      <c r="F25" s="38">
        <f>AVERAGE(B546:B567)</f>
        <v>5.4530909090909079</v>
      </c>
      <c r="G25" s="38">
        <f>G24</f>
        <v>5.4488000000000003</v>
      </c>
      <c r="I25" s="47">
        <v>45232</v>
      </c>
      <c r="J25" s="39">
        <v>86.85</v>
      </c>
      <c r="M25" s="44">
        <v>45992</v>
      </c>
      <c r="N25" s="27" t="s">
        <v>355</v>
      </c>
      <c r="O25" s="38">
        <f>O24</f>
        <v>68.165000000000006</v>
      </c>
      <c r="P25" s="38">
        <v>69.1267</v>
      </c>
      <c r="Q25" s="38">
        <v>62.54</v>
      </c>
    </row>
    <row r="26" spans="1:18">
      <c r="A26" s="19">
        <v>45237</v>
      </c>
      <c r="B26" s="38">
        <v>4.867</v>
      </c>
      <c r="D26" s="1">
        <v>46023</v>
      </c>
      <c r="E26" s="27" t="s">
        <v>355</v>
      </c>
      <c r="F26" s="38">
        <f>AVERAGE(B568:B588)</f>
        <v>5.3380238095238095</v>
      </c>
      <c r="G26" s="38">
        <f>G25</f>
        <v>5.4488000000000003</v>
      </c>
      <c r="I26" s="47">
        <v>45233</v>
      </c>
      <c r="J26" s="39">
        <v>84.89</v>
      </c>
      <c r="M26" s="44">
        <v>46023</v>
      </c>
      <c r="N26" s="27" t="s">
        <v>355</v>
      </c>
      <c r="O26" s="38">
        <f>O25</f>
        <v>68.165000000000006</v>
      </c>
      <c r="P26" s="38">
        <v>69.1267</v>
      </c>
      <c r="Q26" s="98">
        <v>66.599999999999994</v>
      </c>
    </row>
    <row r="27" spans="1:18">
      <c r="A27" s="19">
        <v>45238</v>
      </c>
      <c r="B27" s="38">
        <v>4.8855000000000004</v>
      </c>
      <c r="D27" s="1">
        <v>46054</v>
      </c>
      <c r="E27" s="27" t="s">
        <v>355</v>
      </c>
      <c r="F27" s="38">
        <f>AVERAGE(B589:B606)</f>
        <v>5.200616666666666</v>
      </c>
      <c r="G27" s="38">
        <f>ROUND(AVERAGE(B504:B567),4)</f>
        <v>5.3955000000000002</v>
      </c>
      <c r="I27" s="47">
        <v>45236</v>
      </c>
      <c r="J27" s="39">
        <v>85.18</v>
      </c>
      <c r="M27" s="44">
        <v>46054</v>
      </c>
      <c r="N27" s="27" t="s">
        <v>355</v>
      </c>
      <c r="O27" s="38">
        <f>ROUND(AVERAGE(J518:J582),4)</f>
        <v>63.077199999999998</v>
      </c>
      <c r="P27" s="38">
        <v>63.726599999999998</v>
      </c>
      <c r="Q27" s="98">
        <v>70.89</v>
      </c>
    </row>
    <row r="28" spans="1:18">
      <c r="A28" s="19">
        <v>45239</v>
      </c>
      <c r="B28" s="38">
        <v>4.9006999999999996</v>
      </c>
      <c r="D28" s="1">
        <v>46082</v>
      </c>
      <c r="E28" s="27" t="s">
        <v>355</v>
      </c>
      <c r="F28" s="38">
        <f>AVERAGE(B607:B628)</f>
        <v>5.2315863636363638</v>
      </c>
      <c r="G28" s="38">
        <f>G27</f>
        <v>5.3955000000000002</v>
      </c>
      <c r="I28" s="47">
        <v>45237</v>
      </c>
      <c r="J28" s="39">
        <v>81.61</v>
      </c>
      <c r="M28" s="44">
        <v>46082</v>
      </c>
      <c r="N28" s="27" t="s">
        <v>355</v>
      </c>
      <c r="O28" s="38">
        <f>O27</f>
        <v>63.077199999999998</v>
      </c>
      <c r="P28" s="38">
        <f>P27</f>
        <v>63.726599999999998</v>
      </c>
      <c r="Q28" s="98">
        <v>103.13</v>
      </c>
    </row>
    <row r="29" spans="1:18">
      <c r="A29" s="19">
        <v>45240</v>
      </c>
      <c r="B29" s="38">
        <v>4.9218999999999999</v>
      </c>
      <c r="D29" s="1">
        <v>46113</v>
      </c>
      <c r="E29" s="27" t="s">
        <v>355</v>
      </c>
      <c r="F29" s="38">
        <f>AVERAGE(B629:B648)</f>
        <v>5.033075000000002</v>
      </c>
      <c r="G29" s="38">
        <f>G28</f>
        <v>5.3955000000000002</v>
      </c>
      <c r="I29" s="47">
        <v>45238</v>
      </c>
      <c r="J29" s="39">
        <v>79.540000000000006</v>
      </c>
      <c r="M29" s="44">
        <v>46113</v>
      </c>
      <c r="N29" s="27" t="s">
        <v>355</v>
      </c>
      <c r="O29" s="38">
        <f>O28</f>
        <v>63.077199999999998</v>
      </c>
      <c r="P29" s="38">
        <f>P28</f>
        <v>63.726599999999998</v>
      </c>
      <c r="Q29" s="38">
        <f>AVERAGE(J646:J666)</f>
        <v>102.46428571428574</v>
      </c>
    </row>
    <row r="30" spans="1:18">
      <c r="A30" s="19">
        <v>45243</v>
      </c>
      <c r="B30" s="38">
        <v>4.9246999999999996</v>
      </c>
      <c r="D30" s="1">
        <v>46143</v>
      </c>
      <c r="E30" s="27" t="s">
        <v>355</v>
      </c>
      <c r="F30" s="38">
        <f>AVERAGE(B649:B668)</f>
        <v>4.9836999999999998</v>
      </c>
      <c r="G30" s="38">
        <f>ROUND(AVERAGE(B568:B628),4)</f>
        <v>5.2591000000000001</v>
      </c>
      <c r="I30" s="47">
        <v>45239</v>
      </c>
      <c r="J30" s="39">
        <v>80.010000000000005</v>
      </c>
      <c r="M30" s="44">
        <v>46143</v>
      </c>
      <c r="N30" s="27" t="s">
        <v>355</v>
      </c>
      <c r="O30" s="38">
        <f>ROUND(AVERAGE(J583:J645),4)</f>
        <v>78.378100000000003</v>
      </c>
      <c r="P30"/>
      <c r="Q30" s="38">
        <f>AVERAGE(J667:J687)</f>
        <v>103.71333333333331</v>
      </c>
    </row>
    <row r="31" spans="1:18">
      <c r="A31" s="19">
        <v>45244</v>
      </c>
      <c r="B31" s="38">
        <v>4.8681999999999999</v>
      </c>
      <c r="D31" s="41">
        <v>46174</v>
      </c>
      <c r="E31" s="42" t="s">
        <v>356</v>
      </c>
      <c r="F31" s="74">
        <v>4.9797000000000002</v>
      </c>
      <c r="G31" s="38">
        <f>G30</f>
        <v>5.2591000000000001</v>
      </c>
      <c r="I31" s="47">
        <v>45240</v>
      </c>
      <c r="J31" s="39">
        <v>81.430000000000007</v>
      </c>
      <c r="M31" s="45">
        <v>46174</v>
      </c>
      <c r="N31" s="42" t="s">
        <v>356</v>
      </c>
      <c r="O31" s="38">
        <f>O30</f>
        <v>78.378100000000003</v>
      </c>
      <c r="P31"/>
      <c r="Q31" s="43">
        <v>105</v>
      </c>
    </row>
    <row r="32" spans="1:18">
      <c r="A32" s="19">
        <v>45246</v>
      </c>
      <c r="B32" s="38">
        <v>4.8574999999999999</v>
      </c>
      <c r="D32" s="41">
        <v>46204</v>
      </c>
      <c r="E32" s="42" t="s">
        <v>356</v>
      </c>
      <c r="F32" s="74">
        <v>5.0007000000000001</v>
      </c>
      <c r="G32" s="38">
        <f>G31</f>
        <v>5.2591000000000001</v>
      </c>
      <c r="I32" s="47">
        <v>45243</v>
      </c>
      <c r="J32" s="39">
        <v>82.52</v>
      </c>
      <c r="M32" s="45">
        <v>46204</v>
      </c>
      <c r="N32" s="42" t="s">
        <v>356</v>
      </c>
      <c r="O32" s="38">
        <f>O31</f>
        <v>78.378100000000003</v>
      </c>
      <c r="P32"/>
      <c r="Q32" s="43">
        <v>105</v>
      </c>
    </row>
    <row r="33" spans="1:17">
      <c r="A33" s="19">
        <v>45247</v>
      </c>
      <c r="B33" s="38">
        <v>4.8849</v>
      </c>
      <c r="D33" s="41">
        <v>46235</v>
      </c>
      <c r="E33" s="42" t="s">
        <v>356</v>
      </c>
      <c r="F33" s="74">
        <v>5.0217000000000001</v>
      </c>
      <c r="G33" s="43">
        <f>ROUND(AVERAGE(F29:F31),4)</f>
        <v>4.9988000000000001</v>
      </c>
      <c r="I33" s="47">
        <v>45244</v>
      </c>
      <c r="J33" s="39">
        <v>82.47</v>
      </c>
      <c r="M33" s="45">
        <v>46235</v>
      </c>
      <c r="N33" s="42" t="s">
        <v>356</v>
      </c>
      <c r="O33" s="43">
        <f>ROUND(AVERAGE(Q29:Q31),4)</f>
        <v>103.7259</v>
      </c>
      <c r="P33" s="73"/>
      <c r="Q33" s="43">
        <v>101</v>
      </c>
    </row>
    <row r="34" spans="1:17">
      <c r="A34" s="19">
        <v>45250</v>
      </c>
      <c r="B34" s="38">
        <v>4.8723000000000001</v>
      </c>
      <c r="D34" s="41">
        <v>46266</v>
      </c>
      <c r="E34" s="42" t="s">
        <v>356</v>
      </c>
      <c r="F34" s="74">
        <v>5.0427</v>
      </c>
      <c r="G34" s="43">
        <f>G33</f>
        <v>4.9988000000000001</v>
      </c>
      <c r="I34" s="47">
        <v>45245</v>
      </c>
      <c r="J34" s="39">
        <v>81.180000000000007</v>
      </c>
      <c r="M34" s="45">
        <v>46266</v>
      </c>
      <c r="N34" s="42" t="s">
        <v>356</v>
      </c>
      <c r="O34" s="43">
        <f>O33</f>
        <v>103.7259</v>
      </c>
      <c r="P34" s="73"/>
      <c r="Q34" s="43">
        <v>97</v>
      </c>
    </row>
    <row r="35" spans="1:17">
      <c r="A35" s="19">
        <v>45251</v>
      </c>
      <c r="B35" s="38">
        <v>4.8806000000000003</v>
      </c>
      <c r="D35" s="41">
        <v>46296</v>
      </c>
      <c r="E35" s="42" t="s">
        <v>356</v>
      </c>
      <c r="F35" s="74">
        <v>5.0517000000000003</v>
      </c>
      <c r="G35" s="43">
        <f>G34</f>
        <v>4.9988000000000001</v>
      </c>
      <c r="I35" s="47">
        <v>45246</v>
      </c>
      <c r="J35" s="39">
        <v>77.42</v>
      </c>
      <c r="M35" s="45">
        <v>46296</v>
      </c>
      <c r="N35" s="42" t="s">
        <v>356</v>
      </c>
      <c r="O35" s="43">
        <f>O34</f>
        <v>103.7259</v>
      </c>
      <c r="P35" s="73"/>
      <c r="Q35" s="43">
        <v>92</v>
      </c>
    </row>
    <row r="36" spans="1:17">
      <c r="A36" s="19">
        <v>45252</v>
      </c>
      <c r="B36" s="38">
        <v>4.8967999999999998</v>
      </c>
      <c r="D36" s="41">
        <v>46327</v>
      </c>
      <c r="E36" s="42" t="s">
        <v>356</v>
      </c>
      <c r="F36" s="74">
        <v>5.0887000000000002</v>
      </c>
      <c r="G36" s="43">
        <f>ROUND(AVERAGE(F32:F34),4)</f>
        <v>5.0217000000000001</v>
      </c>
      <c r="I36" s="47">
        <v>45247</v>
      </c>
      <c r="J36" s="39">
        <v>80.61</v>
      </c>
      <c r="M36" s="45">
        <v>46327</v>
      </c>
      <c r="N36" s="42" t="s">
        <v>356</v>
      </c>
      <c r="O36" s="43">
        <f>ROUND(AVERAGE(Q32:Q34),4)</f>
        <v>101</v>
      </c>
      <c r="P36" s="73"/>
      <c r="Q36" s="43">
        <v>89</v>
      </c>
    </row>
    <row r="37" spans="1:17">
      <c r="A37" s="19">
        <v>45253</v>
      </c>
      <c r="B37" s="38">
        <v>4.8930999999999996</v>
      </c>
      <c r="D37" s="41">
        <v>46357</v>
      </c>
      <c r="E37" s="42" t="s">
        <v>356</v>
      </c>
      <c r="F37" s="74">
        <v>5.0956999999999999</v>
      </c>
      <c r="G37" s="43">
        <f>G36</f>
        <v>5.0217000000000001</v>
      </c>
      <c r="I37" s="47">
        <v>45250</v>
      </c>
      <c r="J37" s="39">
        <v>82.32</v>
      </c>
      <c r="M37" s="45">
        <v>46357</v>
      </c>
      <c r="N37" s="42" t="s">
        <v>356</v>
      </c>
      <c r="O37" s="43">
        <f>O36</f>
        <v>101</v>
      </c>
      <c r="P37" s="73"/>
      <c r="Q37" s="43">
        <v>86</v>
      </c>
    </row>
    <row r="38" spans="1:17">
      <c r="A38" s="19">
        <v>45254</v>
      </c>
      <c r="B38" s="38">
        <v>4.8926999999999996</v>
      </c>
      <c r="I38" s="47">
        <v>45251</v>
      </c>
      <c r="J38" s="39">
        <v>82.45</v>
      </c>
    </row>
    <row r="39" spans="1:17">
      <c r="A39" s="19">
        <v>45257</v>
      </c>
      <c r="B39" s="38">
        <v>4.8951000000000002</v>
      </c>
      <c r="I39" s="47">
        <v>45252</v>
      </c>
      <c r="J39" s="39">
        <v>81.96</v>
      </c>
    </row>
    <row r="40" spans="1:17">
      <c r="A40" s="19">
        <v>45258</v>
      </c>
      <c r="B40" s="38">
        <v>4.8867000000000003</v>
      </c>
      <c r="I40" s="47">
        <v>45253</v>
      </c>
      <c r="J40" s="39">
        <v>81.42</v>
      </c>
    </row>
    <row r="41" spans="1:17">
      <c r="A41" s="19">
        <v>45259</v>
      </c>
      <c r="B41" s="38">
        <v>4.8933</v>
      </c>
      <c r="I41" s="47">
        <v>45254</v>
      </c>
      <c r="J41" s="39">
        <v>80.58</v>
      </c>
    </row>
    <row r="42" spans="1:17">
      <c r="A42" s="19">
        <v>45260</v>
      </c>
      <c r="B42" s="38">
        <v>4.9355000000000002</v>
      </c>
      <c r="I42" s="47">
        <v>45257</v>
      </c>
      <c r="J42" s="39">
        <v>79.98</v>
      </c>
    </row>
    <row r="43" spans="1:17">
      <c r="A43" s="19">
        <v>45261</v>
      </c>
      <c r="B43" s="38">
        <v>4.9191000000000003</v>
      </c>
      <c r="I43" s="47">
        <v>45258</v>
      </c>
      <c r="J43" s="39">
        <v>81.680000000000007</v>
      </c>
    </row>
    <row r="44" spans="1:17">
      <c r="A44" s="19">
        <v>45264</v>
      </c>
      <c r="B44" s="38">
        <v>4.9090999999999996</v>
      </c>
      <c r="I44" s="47">
        <v>45259</v>
      </c>
      <c r="J44" s="39">
        <v>83.1</v>
      </c>
    </row>
    <row r="45" spans="1:17">
      <c r="A45" s="19">
        <v>45265</v>
      </c>
      <c r="B45" s="38">
        <v>4.9522000000000004</v>
      </c>
      <c r="I45" s="47">
        <v>45260</v>
      </c>
      <c r="J45" s="39">
        <v>82.83</v>
      </c>
    </row>
    <row r="46" spans="1:17">
      <c r="A46" s="19">
        <v>45266</v>
      </c>
      <c r="B46" s="38">
        <v>4.9031000000000002</v>
      </c>
      <c r="I46" s="47">
        <v>45261</v>
      </c>
      <c r="J46" s="39">
        <v>78.88</v>
      </c>
    </row>
    <row r="47" spans="1:17">
      <c r="A47" s="19">
        <v>45267</v>
      </c>
      <c r="B47" s="38">
        <v>4.8948999999999998</v>
      </c>
      <c r="I47" s="47">
        <v>45264</v>
      </c>
      <c r="J47" s="39">
        <v>78.03</v>
      </c>
    </row>
    <row r="48" spans="1:17">
      <c r="A48" s="19">
        <v>45268</v>
      </c>
      <c r="B48" s="38">
        <v>4.9157999999999999</v>
      </c>
      <c r="I48" s="47">
        <v>45265</v>
      </c>
      <c r="J48" s="39">
        <v>77.2</v>
      </c>
    </row>
    <row r="49" spans="1:10">
      <c r="A49" s="19">
        <v>45271</v>
      </c>
      <c r="B49" s="38">
        <v>4.944</v>
      </c>
      <c r="I49" s="47">
        <v>45266</v>
      </c>
      <c r="J49" s="39">
        <v>74.3</v>
      </c>
    </row>
    <row r="50" spans="1:10">
      <c r="A50" s="19">
        <v>45272</v>
      </c>
      <c r="B50" s="38">
        <v>4.9476000000000004</v>
      </c>
      <c r="I50" s="47">
        <v>45267</v>
      </c>
      <c r="J50" s="39">
        <v>74.05</v>
      </c>
    </row>
    <row r="51" spans="1:10">
      <c r="A51" s="19">
        <v>45273</v>
      </c>
      <c r="B51" s="38">
        <v>4.9580000000000002</v>
      </c>
      <c r="I51" s="47">
        <v>45268</v>
      </c>
      <c r="J51" s="39">
        <v>75.84</v>
      </c>
    </row>
    <row r="52" spans="1:10">
      <c r="A52" s="19">
        <v>45274</v>
      </c>
      <c r="B52" s="38">
        <v>4.8912000000000004</v>
      </c>
      <c r="I52" s="47">
        <v>45271</v>
      </c>
      <c r="J52" s="39">
        <v>76.03</v>
      </c>
    </row>
    <row r="53" spans="1:10">
      <c r="A53" s="19">
        <v>45275</v>
      </c>
      <c r="B53" s="38">
        <v>4.9397000000000002</v>
      </c>
      <c r="I53" s="47">
        <v>45272</v>
      </c>
      <c r="J53" s="39">
        <v>73.239999999999995</v>
      </c>
    </row>
    <row r="54" spans="1:10">
      <c r="A54" s="19">
        <v>45278</v>
      </c>
      <c r="B54" s="38">
        <v>4.9398999999999997</v>
      </c>
      <c r="I54" s="47">
        <v>45273</v>
      </c>
      <c r="J54" s="39">
        <v>74.260000000000005</v>
      </c>
    </row>
    <row r="55" spans="1:10">
      <c r="A55" s="19">
        <v>45279</v>
      </c>
      <c r="B55" s="38">
        <v>4.8662999999999998</v>
      </c>
      <c r="I55" s="47">
        <v>45274</v>
      </c>
      <c r="J55" s="39">
        <v>76.61</v>
      </c>
    </row>
    <row r="56" spans="1:10">
      <c r="A56" s="19">
        <v>45280</v>
      </c>
      <c r="B56" s="38">
        <v>4.8765999999999998</v>
      </c>
      <c r="I56" s="47">
        <v>45275</v>
      </c>
      <c r="J56" s="39">
        <v>76.55</v>
      </c>
    </row>
    <row r="57" spans="1:10">
      <c r="A57" s="19">
        <v>45281</v>
      </c>
      <c r="B57" s="38">
        <v>4.8754999999999997</v>
      </c>
      <c r="I57" s="47">
        <v>45278</v>
      </c>
      <c r="J57" s="39">
        <v>77.95</v>
      </c>
    </row>
    <row r="58" spans="1:10">
      <c r="A58" s="19">
        <v>45282</v>
      </c>
      <c r="B58" s="38">
        <v>4.8619000000000003</v>
      </c>
      <c r="I58" s="47">
        <v>45279</v>
      </c>
      <c r="J58" s="39">
        <v>79.23</v>
      </c>
    </row>
    <row r="59" spans="1:10">
      <c r="A59" s="19">
        <v>45286</v>
      </c>
      <c r="B59" s="38">
        <v>4.8368000000000002</v>
      </c>
      <c r="I59" s="47">
        <v>45280</v>
      </c>
      <c r="J59" s="39">
        <v>79.7</v>
      </c>
    </row>
    <row r="60" spans="1:10">
      <c r="A60" s="19">
        <v>45287</v>
      </c>
      <c r="B60" s="38">
        <v>4.8305999999999996</v>
      </c>
      <c r="I60" s="47">
        <v>45281</v>
      </c>
      <c r="J60" s="39">
        <v>79.39</v>
      </c>
    </row>
    <row r="61" spans="1:10">
      <c r="A61" s="19">
        <v>45288</v>
      </c>
      <c r="B61" s="38">
        <v>4.8413000000000004</v>
      </c>
      <c r="I61" s="47">
        <v>45282</v>
      </c>
      <c r="J61" s="39">
        <v>79.069999999999993</v>
      </c>
    </row>
    <row r="62" spans="1:10">
      <c r="A62" s="19">
        <v>45289</v>
      </c>
      <c r="B62" s="38">
        <v>4.8413000000000004</v>
      </c>
      <c r="I62" s="47">
        <v>45286</v>
      </c>
      <c r="J62" s="39">
        <v>81.069999999999993</v>
      </c>
    </row>
    <row r="63" spans="1:10">
      <c r="A63" s="19">
        <v>45293</v>
      </c>
      <c r="B63" s="38">
        <v>4.8916000000000004</v>
      </c>
      <c r="I63" s="47">
        <v>45287</v>
      </c>
      <c r="J63" s="39">
        <v>79.650000000000006</v>
      </c>
    </row>
    <row r="64" spans="1:10">
      <c r="A64" s="19">
        <v>45294</v>
      </c>
      <c r="B64" s="38">
        <v>4.9211999999999998</v>
      </c>
      <c r="I64" s="47">
        <v>45288</v>
      </c>
      <c r="J64" s="39">
        <v>78.39</v>
      </c>
    </row>
    <row r="65" spans="1:10">
      <c r="A65" s="19">
        <v>45295</v>
      </c>
      <c r="B65" s="38">
        <v>4.9188000000000001</v>
      </c>
      <c r="I65" s="47">
        <v>45289</v>
      </c>
      <c r="J65" s="39">
        <v>77.040000000000006</v>
      </c>
    </row>
    <row r="66" spans="1:10">
      <c r="A66" s="19">
        <v>45296</v>
      </c>
      <c r="B66" s="38">
        <v>4.8898999999999999</v>
      </c>
      <c r="I66" s="47">
        <v>45293</v>
      </c>
      <c r="J66" s="39">
        <v>75.89</v>
      </c>
    </row>
    <row r="67" spans="1:10">
      <c r="A67" s="19">
        <v>45299</v>
      </c>
      <c r="B67" s="38">
        <v>4.8849999999999998</v>
      </c>
      <c r="I67" s="47">
        <v>45294</v>
      </c>
      <c r="J67" s="39">
        <v>78.25</v>
      </c>
    </row>
    <row r="68" spans="1:10">
      <c r="A68" s="19">
        <v>45300</v>
      </c>
      <c r="B68" s="38">
        <v>4.8936999999999999</v>
      </c>
      <c r="I68" s="47">
        <v>45295</v>
      </c>
      <c r="J68" s="39">
        <v>77.59</v>
      </c>
    </row>
    <row r="69" spans="1:10">
      <c r="A69" s="19">
        <v>45301</v>
      </c>
      <c r="B69" s="38">
        <v>4.8901000000000003</v>
      </c>
      <c r="I69" s="47">
        <v>45296</v>
      </c>
      <c r="J69" s="39">
        <v>78.760000000000005</v>
      </c>
    </row>
    <row r="70" spans="1:10">
      <c r="A70" s="19">
        <v>45302</v>
      </c>
      <c r="B70" s="38">
        <v>4.8794000000000004</v>
      </c>
      <c r="I70" s="47">
        <v>45299</v>
      </c>
      <c r="J70" s="39">
        <v>76.12</v>
      </c>
    </row>
    <row r="71" spans="1:10">
      <c r="A71" s="19">
        <v>45303</v>
      </c>
      <c r="B71" s="38">
        <v>4.8543000000000003</v>
      </c>
      <c r="I71" s="47">
        <v>45300</v>
      </c>
      <c r="J71" s="39">
        <v>77.59</v>
      </c>
    </row>
    <row r="72" spans="1:10">
      <c r="A72" s="19">
        <v>45306</v>
      </c>
      <c r="B72" s="38">
        <v>4.8765000000000001</v>
      </c>
      <c r="I72" s="47">
        <v>45301</v>
      </c>
      <c r="J72" s="39">
        <v>76.8</v>
      </c>
    </row>
    <row r="73" spans="1:10">
      <c r="A73" s="19">
        <v>45307</v>
      </c>
      <c r="B73" s="38">
        <v>4.9038000000000004</v>
      </c>
      <c r="I73" s="47">
        <v>45302</v>
      </c>
      <c r="J73" s="39">
        <v>77.41</v>
      </c>
    </row>
    <row r="74" spans="1:10">
      <c r="A74" s="19">
        <v>45308</v>
      </c>
      <c r="B74" s="38">
        <v>4.9345999999999997</v>
      </c>
      <c r="I74" s="47">
        <v>45303</v>
      </c>
      <c r="J74" s="39">
        <v>78.290000000000006</v>
      </c>
    </row>
    <row r="75" spans="1:10">
      <c r="A75" s="19">
        <v>45309</v>
      </c>
      <c r="B75" s="38">
        <v>4.9402999999999997</v>
      </c>
      <c r="I75" s="47">
        <v>45306</v>
      </c>
      <c r="J75" s="39">
        <v>78.150000000000006</v>
      </c>
    </row>
    <row r="76" spans="1:10">
      <c r="A76" s="19">
        <v>45310</v>
      </c>
      <c r="B76" s="38">
        <v>4.9222999999999999</v>
      </c>
      <c r="I76" s="47">
        <v>45307</v>
      </c>
      <c r="J76" s="39">
        <v>78.290000000000006</v>
      </c>
    </row>
    <row r="77" spans="1:10">
      <c r="A77" s="19">
        <v>45313</v>
      </c>
      <c r="B77" s="38">
        <v>4.9489999999999998</v>
      </c>
      <c r="I77" s="47">
        <v>45308</v>
      </c>
      <c r="J77" s="39">
        <v>77.88</v>
      </c>
    </row>
    <row r="78" spans="1:10">
      <c r="A78" s="19">
        <v>45314</v>
      </c>
      <c r="B78" s="38">
        <v>4.9714999999999998</v>
      </c>
      <c r="I78" s="47">
        <v>45309</v>
      </c>
      <c r="J78" s="39">
        <v>79.099999999999994</v>
      </c>
    </row>
    <row r="79" spans="1:10">
      <c r="A79" s="19">
        <v>45315</v>
      </c>
      <c r="B79" s="38">
        <v>4.9192</v>
      </c>
      <c r="I79" s="47">
        <v>45310</v>
      </c>
      <c r="J79" s="39">
        <v>78.56</v>
      </c>
    </row>
    <row r="80" spans="1:10">
      <c r="A80" s="19">
        <v>45316</v>
      </c>
      <c r="B80" s="38">
        <v>4.9231999999999996</v>
      </c>
      <c r="I80" s="47">
        <v>45313</v>
      </c>
      <c r="J80" s="39">
        <v>80.06</v>
      </c>
    </row>
    <row r="81" spans="1:10">
      <c r="A81" s="19">
        <v>45317</v>
      </c>
      <c r="B81" s="38">
        <v>4.9124999999999996</v>
      </c>
      <c r="I81" s="47">
        <v>45314</v>
      </c>
      <c r="J81" s="39">
        <v>79.55</v>
      </c>
    </row>
    <row r="82" spans="1:10">
      <c r="A82" s="19">
        <v>45320</v>
      </c>
      <c r="B82" s="38">
        <v>4.9225000000000003</v>
      </c>
      <c r="I82" s="47">
        <v>45315</v>
      </c>
      <c r="J82" s="39">
        <v>80.040000000000006</v>
      </c>
    </row>
    <row r="83" spans="1:10">
      <c r="A83" s="19">
        <v>45321</v>
      </c>
      <c r="B83" s="38">
        <v>4.9638</v>
      </c>
      <c r="I83" s="47">
        <v>45316</v>
      </c>
      <c r="J83" s="39">
        <v>82.43</v>
      </c>
    </row>
    <row r="84" spans="1:10">
      <c r="A84" s="19">
        <v>45322</v>
      </c>
      <c r="B84" s="38">
        <v>4.9535</v>
      </c>
      <c r="I84" s="47">
        <v>45317</v>
      </c>
      <c r="J84" s="39">
        <v>83.55</v>
      </c>
    </row>
    <row r="85" spans="1:10">
      <c r="A85" s="19">
        <v>45323</v>
      </c>
      <c r="B85" s="38">
        <v>4.9349999999999996</v>
      </c>
      <c r="I85" s="47">
        <v>45320</v>
      </c>
      <c r="J85" s="39">
        <v>82.4</v>
      </c>
    </row>
    <row r="86" spans="1:10">
      <c r="A86" s="19">
        <v>45324</v>
      </c>
      <c r="B86" s="38">
        <v>4.9470999999999998</v>
      </c>
      <c r="I86" s="47">
        <v>45321</v>
      </c>
      <c r="J86" s="39">
        <v>82.87</v>
      </c>
    </row>
    <row r="87" spans="1:10">
      <c r="A87" s="19">
        <v>45327</v>
      </c>
      <c r="B87" s="38">
        <v>5.0053000000000001</v>
      </c>
      <c r="I87" s="47">
        <v>45322</v>
      </c>
      <c r="J87" s="39">
        <v>81.709999999999994</v>
      </c>
    </row>
    <row r="88" spans="1:10">
      <c r="A88" s="19">
        <v>45328</v>
      </c>
      <c r="B88" s="38">
        <v>4.9687000000000001</v>
      </c>
      <c r="I88" s="47">
        <v>45323</v>
      </c>
      <c r="J88" s="39">
        <v>78.7</v>
      </c>
    </row>
    <row r="89" spans="1:10">
      <c r="A89" s="19">
        <v>45329</v>
      </c>
      <c r="B89" s="38">
        <v>4.9607999999999999</v>
      </c>
      <c r="I89" s="47">
        <v>45324</v>
      </c>
      <c r="J89" s="39">
        <v>77.33</v>
      </c>
    </row>
    <row r="90" spans="1:10">
      <c r="A90" s="19">
        <v>45330</v>
      </c>
      <c r="B90" s="38">
        <v>4.9804000000000004</v>
      </c>
      <c r="I90" s="47">
        <v>45327</v>
      </c>
      <c r="J90" s="39">
        <v>77.989999999999995</v>
      </c>
    </row>
    <row r="91" spans="1:10">
      <c r="A91" s="19">
        <v>45331</v>
      </c>
      <c r="B91" s="38">
        <v>4.9717000000000002</v>
      </c>
      <c r="I91" s="47">
        <v>45328</v>
      </c>
      <c r="J91" s="39">
        <v>78.59</v>
      </c>
    </row>
    <row r="92" spans="1:10">
      <c r="A92" s="19">
        <v>45336</v>
      </c>
      <c r="B92" s="38">
        <v>4.9722999999999997</v>
      </c>
      <c r="I92" s="47">
        <v>45329</v>
      </c>
      <c r="J92" s="39">
        <v>79.209999999999994</v>
      </c>
    </row>
    <row r="93" spans="1:10">
      <c r="A93" s="19">
        <v>45337</v>
      </c>
      <c r="B93" s="38">
        <v>4.9710000000000001</v>
      </c>
      <c r="I93" s="47">
        <v>45330</v>
      </c>
      <c r="J93" s="39">
        <v>81.63</v>
      </c>
    </row>
    <row r="94" spans="1:10">
      <c r="A94" s="19">
        <v>45338</v>
      </c>
      <c r="B94" s="38">
        <v>4.9760999999999997</v>
      </c>
      <c r="I94" s="47">
        <v>45331</v>
      </c>
      <c r="J94" s="39">
        <v>82.19</v>
      </c>
    </row>
    <row r="95" spans="1:10">
      <c r="A95" s="19">
        <v>45341</v>
      </c>
      <c r="B95" s="38">
        <v>4.9584999999999999</v>
      </c>
      <c r="I95" s="47">
        <v>45334</v>
      </c>
      <c r="J95" s="39">
        <v>82</v>
      </c>
    </row>
    <row r="96" spans="1:10">
      <c r="A96" s="19">
        <v>45342</v>
      </c>
      <c r="B96" s="38">
        <v>4.9408000000000003</v>
      </c>
      <c r="I96" s="47">
        <v>45335</v>
      </c>
      <c r="J96" s="39">
        <v>82.77</v>
      </c>
    </row>
    <row r="97" spans="1:10">
      <c r="A97" s="19">
        <v>45343</v>
      </c>
      <c r="B97" s="38">
        <v>4.9302999999999999</v>
      </c>
      <c r="I97" s="47">
        <v>45336</v>
      </c>
      <c r="J97" s="39">
        <v>81.599999999999994</v>
      </c>
    </row>
    <row r="98" spans="1:10">
      <c r="A98" s="19">
        <v>45344</v>
      </c>
      <c r="B98" s="38">
        <v>4.9419000000000004</v>
      </c>
      <c r="I98" s="47">
        <v>45337</v>
      </c>
      <c r="J98" s="39">
        <v>82.86</v>
      </c>
    </row>
    <row r="99" spans="1:10">
      <c r="A99" s="19">
        <v>45345</v>
      </c>
      <c r="B99" s="38">
        <v>4.9851000000000001</v>
      </c>
      <c r="I99" s="47">
        <v>45338</v>
      </c>
      <c r="J99" s="39">
        <v>83.47</v>
      </c>
    </row>
    <row r="100" spans="1:10">
      <c r="A100" s="19">
        <v>45348</v>
      </c>
      <c r="B100" s="38">
        <v>4.9819000000000004</v>
      </c>
      <c r="I100" s="47">
        <v>45341</v>
      </c>
      <c r="J100" s="39">
        <v>83.56</v>
      </c>
    </row>
    <row r="101" spans="1:10">
      <c r="A101" s="19">
        <v>45349</v>
      </c>
      <c r="B101" s="38">
        <v>4.9574999999999996</v>
      </c>
      <c r="I101" s="47">
        <v>45342</v>
      </c>
      <c r="J101" s="39">
        <v>82.34</v>
      </c>
    </row>
    <row r="102" spans="1:10">
      <c r="A102" s="19">
        <v>45350</v>
      </c>
      <c r="B102" s="38">
        <v>4.9557000000000002</v>
      </c>
      <c r="I102" s="47">
        <v>45343</v>
      </c>
      <c r="J102" s="39">
        <v>83.03</v>
      </c>
    </row>
    <row r="103" spans="1:10">
      <c r="A103" s="19">
        <v>45351</v>
      </c>
      <c r="B103" s="38">
        <v>4.9832999999999998</v>
      </c>
      <c r="I103" s="47">
        <v>45344</v>
      </c>
      <c r="J103" s="39">
        <v>83.67</v>
      </c>
    </row>
    <row r="104" spans="1:10">
      <c r="A104" s="19">
        <v>45352</v>
      </c>
      <c r="B104" s="38">
        <v>4.9596</v>
      </c>
      <c r="I104" s="47">
        <v>45345</v>
      </c>
      <c r="J104" s="39">
        <v>81.62</v>
      </c>
    </row>
    <row r="105" spans="1:10">
      <c r="A105" s="19">
        <v>45355</v>
      </c>
      <c r="B105" s="38">
        <v>4.9474999999999998</v>
      </c>
      <c r="I105" s="47">
        <v>45348</v>
      </c>
      <c r="J105" s="39">
        <v>82.53</v>
      </c>
    </row>
    <row r="106" spans="1:10">
      <c r="A106" s="19">
        <v>45356</v>
      </c>
      <c r="B106" s="38">
        <v>4.9488000000000003</v>
      </c>
      <c r="I106" s="47">
        <v>45349</v>
      </c>
      <c r="J106" s="39">
        <v>83.65</v>
      </c>
    </row>
    <row r="107" spans="1:10">
      <c r="A107" s="19">
        <v>45357</v>
      </c>
      <c r="B107" s="38">
        <v>4.9398</v>
      </c>
      <c r="I107" s="47">
        <v>45350</v>
      </c>
      <c r="J107" s="39">
        <v>83.68</v>
      </c>
    </row>
    <row r="108" spans="1:10">
      <c r="A108" s="19">
        <v>45358</v>
      </c>
      <c r="B108" s="38">
        <v>4.9363999999999999</v>
      </c>
      <c r="I108" s="47">
        <v>45351</v>
      </c>
      <c r="J108" s="39">
        <v>83.62</v>
      </c>
    </row>
    <row r="109" spans="1:10">
      <c r="A109" s="19">
        <v>45359</v>
      </c>
      <c r="B109" s="38">
        <v>4.9751000000000003</v>
      </c>
      <c r="I109" s="47">
        <v>45352</v>
      </c>
      <c r="J109" s="39">
        <v>83.55</v>
      </c>
    </row>
    <row r="110" spans="1:10">
      <c r="A110" s="19">
        <v>45362</v>
      </c>
      <c r="B110" s="38">
        <v>4.9776999999999996</v>
      </c>
      <c r="I110" s="47">
        <v>45355</v>
      </c>
      <c r="J110" s="39">
        <v>82.8</v>
      </c>
    </row>
    <row r="111" spans="1:10">
      <c r="A111" s="19">
        <v>45363</v>
      </c>
      <c r="B111" s="38">
        <v>4.9813000000000001</v>
      </c>
      <c r="I111" s="47">
        <v>45356</v>
      </c>
      <c r="J111" s="39">
        <v>82.04</v>
      </c>
    </row>
    <row r="112" spans="1:10">
      <c r="A112" s="19">
        <v>45364</v>
      </c>
      <c r="B112" s="38">
        <v>4.9802999999999997</v>
      </c>
      <c r="I112" s="47">
        <v>45357</v>
      </c>
      <c r="J112" s="39">
        <v>82.96</v>
      </c>
    </row>
    <row r="113" spans="1:10">
      <c r="A113" s="19">
        <v>45365</v>
      </c>
      <c r="B113" s="38">
        <v>4.9767999999999999</v>
      </c>
      <c r="I113" s="47">
        <v>45358</v>
      </c>
      <c r="J113" s="39">
        <v>82.96</v>
      </c>
    </row>
    <row r="114" spans="1:10">
      <c r="A114" s="19">
        <v>45366</v>
      </c>
      <c r="B114" s="38">
        <v>4.9936999999999996</v>
      </c>
      <c r="I114" s="47">
        <v>45359</v>
      </c>
      <c r="J114" s="39">
        <v>82.08</v>
      </c>
    </row>
    <row r="115" spans="1:10">
      <c r="A115" s="19">
        <v>45369</v>
      </c>
      <c r="B115" s="38">
        <v>5.0124000000000004</v>
      </c>
      <c r="I115" s="47">
        <v>45362</v>
      </c>
      <c r="J115" s="39">
        <v>82.21</v>
      </c>
    </row>
    <row r="116" spans="1:10">
      <c r="A116" s="19">
        <v>45370</v>
      </c>
      <c r="B116" s="38">
        <v>5.0351999999999997</v>
      </c>
      <c r="I116" s="47">
        <v>45363</v>
      </c>
      <c r="J116" s="39">
        <v>81.92</v>
      </c>
    </row>
    <row r="117" spans="1:10">
      <c r="A117" s="19">
        <v>45371</v>
      </c>
      <c r="B117" s="38">
        <v>5.0119999999999996</v>
      </c>
      <c r="I117" s="47">
        <v>45364</v>
      </c>
      <c r="J117" s="39">
        <v>84.03</v>
      </c>
    </row>
    <row r="118" spans="1:10">
      <c r="A118" s="19">
        <v>45372</v>
      </c>
      <c r="B118" s="38">
        <v>4.9806999999999997</v>
      </c>
      <c r="I118" s="47">
        <v>45365</v>
      </c>
      <c r="J118" s="39">
        <v>85.42</v>
      </c>
    </row>
    <row r="119" spans="1:10">
      <c r="A119" s="19">
        <v>45373</v>
      </c>
      <c r="B119" s="38">
        <v>4.9897</v>
      </c>
      <c r="I119" s="47">
        <v>45366</v>
      </c>
      <c r="J119" s="39">
        <v>85.34</v>
      </c>
    </row>
    <row r="120" spans="1:10">
      <c r="A120" s="19">
        <v>45376</v>
      </c>
      <c r="B120" s="38">
        <v>4.9869000000000003</v>
      </c>
      <c r="I120" s="47">
        <v>45369</v>
      </c>
      <c r="J120" s="39">
        <v>86.89</v>
      </c>
    </row>
    <row r="121" spans="1:10">
      <c r="A121" s="19">
        <v>45377</v>
      </c>
      <c r="B121" s="38">
        <v>4.9870000000000001</v>
      </c>
      <c r="I121" s="47">
        <v>45370</v>
      </c>
      <c r="J121" s="39">
        <v>87.38</v>
      </c>
    </row>
    <row r="122" spans="1:10">
      <c r="A122" s="19">
        <v>45378</v>
      </c>
      <c r="B122" s="38">
        <v>4.9855999999999998</v>
      </c>
      <c r="I122" s="47">
        <v>45371</v>
      </c>
      <c r="J122" s="39">
        <v>85.95</v>
      </c>
    </row>
    <row r="123" spans="1:10">
      <c r="A123" s="19">
        <v>45379</v>
      </c>
      <c r="B123" s="38">
        <v>4.9962</v>
      </c>
      <c r="I123" s="47">
        <v>45372</v>
      </c>
      <c r="J123" s="39">
        <v>85.78</v>
      </c>
    </row>
    <row r="124" spans="1:10">
      <c r="A124" s="19">
        <v>45383</v>
      </c>
      <c r="B124" s="38">
        <v>5.0532000000000004</v>
      </c>
      <c r="I124" s="47">
        <v>45373</v>
      </c>
      <c r="J124" s="39">
        <v>85.43</v>
      </c>
    </row>
    <row r="125" spans="1:10">
      <c r="A125" s="19">
        <v>45384</v>
      </c>
      <c r="B125" s="38">
        <v>5.0476000000000001</v>
      </c>
      <c r="I125" s="47">
        <v>45376</v>
      </c>
      <c r="J125" s="39">
        <v>86.75</v>
      </c>
    </row>
    <row r="126" spans="1:10">
      <c r="A126" s="19">
        <v>45385</v>
      </c>
      <c r="B126" s="38">
        <v>5.0724</v>
      </c>
      <c r="I126" s="47">
        <v>45377</v>
      </c>
      <c r="J126" s="39">
        <v>86.25</v>
      </c>
    </row>
    <row r="127" spans="1:10">
      <c r="A127" s="19">
        <v>45386</v>
      </c>
      <c r="B127" s="38">
        <v>5.0236999999999998</v>
      </c>
      <c r="I127" s="47">
        <v>45378</v>
      </c>
      <c r="J127" s="39">
        <v>86.09</v>
      </c>
    </row>
    <row r="128" spans="1:10">
      <c r="A128" s="19">
        <v>45387</v>
      </c>
      <c r="B128" s="38">
        <v>5.0519999999999996</v>
      </c>
      <c r="I128" s="47">
        <v>45379</v>
      </c>
      <c r="J128" s="39">
        <v>87.48</v>
      </c>
    </row>
    <row r="129" spans="1:10">
      <c r="A129" s="19">
        <v>45390</v>
      </c>
      <c r="B129" s="38">
        <v>5.0420999999999996</v>
      </c>
      <c r="I129" s="47">
        <v>45383</v>
      </c>
      <c r="J129" s="39">
        <v>87.42</v>
      </c>
    </row>
    <row r="130" spans="1:10">
      <c r="A130" s="19">
        <v>45391</v>
      </c>
      <c r="B130" s="38">
        <v>5.008</v>
      </c>
      <c r="I130" s="47">
        <v>45384</v>
      </c>
      <c r="J130" s="39">
        <v>88.92</v>
      </c>
    </row>
    <row r="131" spans="1:10">
      <c r="A131" s="19">
        <v>45392</v>
      </c>
      <c r="B131" s="38">
        <v>5.0654000000000003</v>
      </c>
      <c r="I131" s="47">
        <v>45385</v>
      </c>
      <c r="J131" s="39">
        <v>89.35</v>
      </c>
    </row>
    <row r="132" spans="1:10">
      <c r="A132" s="19">
        <v>45393</v>
      </c>
      <c r="B132" s="38">
        <v>5.0765000000000002</v>
      </c>
      <c r="I132" s="47">
        <v>45386</v>
      </c>
      <c r="J132" s="39">
        <v>90.65</v>
      </c>
    </row>
    <row r="133" spans="1:10">
      <c r="A133" s="19">
        <v>45394</v>
      </c>
      <c r="B133" s="38">
        <v>5.1364000000000001</v>
      </c>
      <c r="I133" s="47">
        <v>45387</v>
      </c>
      <c r="J133" s="39">
        <v>91.17</v>
      </c>
    </row>
    <row r="134" spans="1:10">
      <c r="A134" s="19">
        <v>45397</v>
      </c>
      <c r="B134" s="38">
        <v>5.1745999999999999</v>
      </c>
      <c r="I134" s="47">
        <v>45390</v>
      </c>
      <c r="J134" s="39">
        <v>90.38</v>
      </c>
    </row>
    <row r="135" spans="1:10">
      <c r="A135" s="19">
        <v>45398</v>
      </c>
      <c r="B135" s="38">
        <v>5.2634999999999996</v>
      </c>
      <c r="I135" s="47">
        <v>45391</v>
      </c>
      <c r="J135" s="39">
        <v>89.42</v>
      </c>
    </row>
    <row r="136" spans="1:10">
      <c r="A136" s="19">
        <v>45399</v>
      </c>
      <c r="B136" s="38">
        <v>5.2469000000000001</v>
      </c>
      <c r="I136" s="47">
        <v>45392</v>
      </c>
      <c r="J136" s="39">
        <v>90.48</v>
      </c>
    </row>
    <row r="137" spans="1:10">
      <c r="A137" s="19">
        <v>45400</v>
      </c>
      <c r="B137" s="38">
        <v>5.2511999999999999</v>
      </c>
      <c r="I137" s="47">
        <v>45393</v>
      </c>
      <c r="J137" s="39">
        <v>89.74</v>
      </c>
    </row>
    <row r="138" spans="1:10">
      <c r="A138" s="19">
        <v>45401</v>
      </c>
      <c r="B138" s="38">
        <v>5.2268999999999997</v>
      </c>
      <c r="I138" s="47">
        <v>45394</v>
      </c>
      <c r="J138" s="39">
        <v>90.45</v>
      </c>
    </row>
    <row r="139" spans="1:10">
      <c r="A139" s="19">
        <v>45404</v>
      </c>
      <c r="B139" s="38">
        <v>5.2042999999999999</v>
      </c>
      <c r="I139" s="47">
        <v>45397</v>
      </c>
      <c r="J139" s="39">
        <v>90.1</v>
      </c>
    </row>
    <row r="140" spans="1:10">
      <c r="A140" s="19">
        <v>45405</v>
      </c>
      <c r="B140" s="38">
        <v>5.1626000000000003</v>
      </c>
      <c r="I140" s="47">
        <v>45398</v>
      </c>
      <c r="J140" s="39">
        <v>90.02</v>
      </c>
    </row>
    <row r="141" spans="1:10">
      <c r="A141" s="19">
        <v>45406</v>
      </c>
      <c r="B141" s="38">
        <v>5.1592000000000002</v>
      </c>
      <c r="I141" s="47">
        <v>45399</v>
      </c>
      <c r="J141" s="39">
        <v>87.29</v>
      </c>
    </row>
    <row r="142" spans="1:10">
      <c r="A142" s="19">
        <v>45407</v>
      </c>
      <c r="B142" s="38">
        <v>5.1679000000000004</v>
      </c>
      <c r="I142" s="47">
        <v>45400</v>
      </c>
      <c r="J142" s="39">
        <v>87.11</v>
      </c>
    </row>
    <row r="143" spans="1:10">
      <c r="A143" s="19">
        <v>45408</v>
      </c>
      <c r="B143" s="38">
        <v>5.1184000000000003</v>
      </c>
      <c r="I143" s="47">
        <v>45401</v>
      </c>
      <c r="J143" s="39">
        <v>87.29</v>
      </c>
    </row>
    <row r="144" spans="1:10">
      <c r="A144" s="19">
        <v>45411</v>
      </c>
      <c r="B144" s="38">
        <v>5.1154999999999999</v>
      </c>
      <c r="I144" s="47">
        <v>45404</v>
      </c>
      <c r="J144" s="39">
        <v>87</v>
      </c>
    </row>
    <row r="145" spans="1:10">
      <c r="A145" s="19">
        <v>45412</v>
      </c>
      <c r="B145" s="38">
        <v>5.1718000000000002</v>
      </c>
      <c r="I145" s="47">
        <v>45405</v>
      </c>
      <c r="J145" s="39">
        <v>88.42</v>
      </c>
    </row>
    <row r="146" spans="1:10">
      <c r="A146" s="19">
        <v>45414</v>
      </c>
      <c r="B146" s="38">
        <v>5.1184000000000003</v>
      </c>
      <c r="I146" s="47">
        <v>45406</v>
      </c>
      <c r="J146" s="39">
        <v>88.02</v>
      </c>
    </row>
    <row r="147" spans="1:10">
      <c r="A147" s="19">
        <v>45415</v>
      </c>
      <c r="B147" s="38">
        <v>5.0667999999999997</v>
      </c>
      <c r="I147" s="47">
        <v>45407</v>
      </c>
      <c r="J147" s="39">
        <v>89.01</v>
      </c>
    </row>
    <row r="148" spans="1:10">
      <c r="A148" s="19">
        <v>45418</v>
      </c>
      <c r="B148" s="38">
        <v>5.0727000000000002</v>
      </c>
      <c r="I148" s="47">
        <v>45408</v>
      </c>
      <c r="J148" s="39">
        <v>89.5</v>
      </c>
    </row>
    <row r="149" spans="1:10">
      <c r="A149" s="19">
        <v>45419</v>
      </c>
      <c r="B149" s="38">
        <v>5.0609999999999999</v>
      </c>
      <c r="I149" s="47">
        <v>45411</v>
      </c>
      <c r="J149" s="39">
        <v>88.4</v>
      </c>
    </row>
    <row r="150" spans="1:10">
      <c r="A150" s="19">
        <v>45420</v>
      </c>
      <c r="B150" s="38">
        <v>5.0887000000000002</v>
      </c>
      <c r="I150" s="47">
        <v>45412</v>
      </c>
      <c r="J150" s="39">
        <v>87.86</v>
      </c>
    </row>
    <row r="151" spans="1:10">
      <c r="A151" s="19">
        <v>45421</v>
      </c>
      <c r="B151" s="38">
        <v>5.1577000000000002</v>
      </c>
      <c r="I151" s="47">
        <v>45413</v>
      </c>
      <c r="J151" s="39">
        <v>83.44</v>
      </c>
    </row>
    <row r="152" spans="1:10">
      <c r="A152" s="19">
        <v>45422</v>
      </c>
      <c r="B152" s="38">
        <v>5.1463999999999999</v>
      </c>
      <c r="I152" s="47">
        <v>45414</v>
      </c>
      <c r="J152" s="39">
        <v>83.67</v>
      </c>
    </row>
    <row r="153" spans="1:10">
      <c r="A153" s="19">
        <v>45425</v>
      </c>
      <c r="B153" s="38">
        <v>5.1412000000000004</v>
      </c>
      <c r="I153" s="47">
        <v>45415</v>
      </c>
      <c r="J153" s="39">
        <v>82.96</v>
      </c>
    </row>
    <row r="154" spans="1:10">
      <c r="A154" s="19">
        <v>45426</v>
      </c>
      <c r="B154" s="38">
        <v>5.1356000000000002</v>
      </c>
      <c r="I154" s="47">
        <v>45418</v>
      </c>
      <c r="J154" s="39">
        <v>83.33</v>
      </c>
    </row>
    <row r="155" spans="1:10">
      <c r="A155" s="19">
        <v>45427</v>
      </c>
      <c r="B155" s="38">
        <v>5.1422999999999996</v>
      </c>
      <c r="I155" s="47">
        <v>45419</v>
      </c>
      <c r="J155" s="39">
        <v>83.16</v>
      </c>
    </row>
    <row r="156" spans="1:10">
      <c r="A156" s="19">
        <v>45428</v>
      </c>
      <c r="B156" s="38">
        <v>5.1269999999999998</v>
      </c>
      <c r="I156" s="47">
        <v>45420</v>
      </c>
      <c r="J156" s="39">
        <v>83.58</v>
      </c>
    </row>
    <row r="157" spans="1:10">
      <c r="A157" s="19">
        <v>45429</v>
      </c>
      <c r="B157" s="38">
        <v>5.1157000000000004</v>
      </c>
      <c r="I157" s="47">
        <v>45421</v>
      </c>
      <c r="J157" s="39">
        <v>83.88</v>
      </c>
    </row>
    <row r="158" spans="1:10">
      <c r="A158" s="19">
        <v>45432</v>
      </c>
      <c r="B158" s="38">
        <v>5.1085000000000003</v>
      </c>
      <c r="I158" s="47">
        <v>45422</v>
      </c>
      <c r="J158" s="39">
        <v>82.79</v>
      </c>
    </row>
    <row r="159" spans="1:10">
      <c r="A159" s="19">
        <v>45433</v>
      </c>
      <c r="B159" s="38">
        <v>5.1036999999999999</v>
      </c>
      <c r="I159" s="47">
        <v>45425</v>
      </c>
      <c r="J159" s="39">
        <v>83.36</v>
      </c>
    </row>
    <row r="160" spans="1:10">
      <c r="A160" s="19">
        <v>45434</v>
      </c>
      <c r="B160" s="38">
        <v>5.1501999999999999</v>
      </c>
      <c r="I160" s="47">
        <v>45426</v>
      </c>
      <c r="J160" s="39">
        <v>82.38</v>
      </c>
    </row>
    <row r="161" spans="1:10">
      <c r="A161" s="19">
        <v>45435</v>
      </c>
      <c r="B161" s="38">
        <v>5.1443000000000003</v>
      </c>
      <c r="I161" s="47">
        <v>45427</v>
      </c>
      <c r="J161" s="39">
        <v>82.75</v>
      </c>
    </row>
    <row r="162" spans="1:10">
      <c r="A162" s="19">
        <v>45436</v>
      </c>
      <c r="B162" s="38">
        <v>5.1508000000000003</v>
      </c>
      <c r="I162" s="47">
        <v>45428</v>
      </c>
      <c r="J162" s="39">
        <v>83.27</v>
      </c>
    </row>
    <row r="163" spans="1:10">
      <c r="A163" s="19">
        <v>45439</v>
      </c>
      <c r="B163" s="38">
        <v>5.1703999999999999</v>
      </c>
      <c r="I163" s="47">
        <v>45429</v>
      </c>
      <c r="J163" s="39">
        <v>83.98</v>
      </c>
    </row>
    <row r="164" spans="1:10">
      <c r="A164" s="19">
        <v>45440</v>
      </c>
      <c r="B164" s="38">
        <v>5.1538000000000004</v>
      </c>
      <c r="I164" s="47">
        <v>45432</v>
      </c>
      <c r="J164" s="39">
        <v>83.71</v>
      </c>
    </row>
    <row r="165" spans="1:10">
      <c r="A165" s="19">
        <v>45441</v>
      </c>
      <c r="B165" s="38">
        <v>5.1971999999999996</v>
      </c>
      <c r="I165" s="47">
        <v>45433</v>
      </c>
      <c r="J165" s="39">
        <v>82.88</v>
      </c>
    </row>
    <row r="166" spans="1:10">
      <c r="A166" s="19">
        <v>45443</v>
      </c>
      <c r="B166" s="38">
        <v>5.2416</v>
      </c>
      <c r="I166" s="47">
        <v>45434</v>
      </c>
      <c r="J166" s="39">
        <v>81.900000000000006</v>
      </c>
    </row>
    <row r="167" spans="1:10">
      <c r="A167" s="19">
        <v>45446</v>
      </c>
      <c r="B167" s="38">
        <v>5.2373000000000003</v>
      </c>
      <c r="I167" s="47">
        <v>45435</v>
      </c>
      <c r="J167" s="39">
        <v>81.36</v>
      </c>
    </row>
    <row r="168" spans="1:10">
      <c r="A168" s="19">
        <v>45447</v>
      </c>
      <c r="B168" s="38">
        <v>5.2686999999999999</v>
      </c>
      <c r="I168" s="47">
        <v>45436</v>
      </c>
      <c r="J168" s="39">
        <v>82.12</v>
      </c>
    </row>
    <row r="169" spans="1:10">
      <c r="A169" s="19">
        <v>45448</v>
      </c>
      <c r="B169" s="38">
        <v>5.2840999999999996</v>
      </c>
      <c r="I169" s="47">
        <v>45439</v>
      </c>
      <c r="J169" s="39">
        <v>83.1</v>
      </c>
    </row>
    <row r="170" spans="1:10">
      <c r="A170" s="19">
        <v>45449</v>
      </c>
      <c r="B170" s="38">
        <v>5.2680999999999996</v>
      </c>
      <c r="I170" s="47">
        <v>45440</v>
      </c>
      <c r="J170" s="39">
        <v>84.22</v>
      </c>
    </row>
    <row r="171" spans="1:10">
      <c r="A171" s="19">
        <v>45450</v>
      </c>
      <c r="B171" s="38">
        <v>5.2801999999999998</v>
      </c>
      <c r="I171" s="47">
        <v>45441</v>
      </c>
      <c r="J171" s="39">
        <v>83.6</v>
      </c>
    </row>
    <row r="172" spans="1:10">
      <c r="A172" s="19">
        <v>45453</v>
      </c>
      <c r="B172" s="38">
        <v>5.3666</v>
      </c>
      <c r="I172" s="47">
        <v>45442</v>
      </c>
      <c r="J172" s="39">
        <v>81.86</v>
      </c>
    </row>
    <row r="173" spans="1:10">
      <c r="A173" s="19">
        <v>45454</v>
      </c>
      <c r="B173" s="38">
        <v>5.3524000000000003</v>
      </c>
      <c r="I173" s="47">
        <v>45443</v>
      </c>
      <c r="J173" s="39">
        <v>81.62</v>
      </c>
    </row>
    <row r="174" spans="1:10">
      <c r="A174" s="19">
        <v>45455</v>
      </c>
      <c r="B174" s="38">
        <v>5.3891</v>
      </c>
      <c r="I174" s="47">
        <v>45446</v>
      </c>
      <c r="J174" s="39">
        <v>78.36</v>
      </c>
    </row>
    <row r="175" spans="1:10">
      <c r="A175" s="19">
        <v>45456</v>
      </c>
      <c r="B175" s="38">
        <v>5.3974000000000002</v>
      </c>
      <c r="I175" s="47">
        <v>45447</v>
      </c>
      <c r="J175" s="39">
        <v>77.52</v>
      </c>
    </row>
    <row r="176" spans="1:10">
      <c r="A176" s="19">
        <v>45457</v>
      </c>
      <c r="B176" s="38">
        <v>5.3630000000000004</v>
      </c>
      <c r="I176" s="47">
        <v>45448</v>
      </c>
      <c r="J176" s="39">
        <v>78.41</v>
      </c>
    </row>
    <row r="177" spans="1:10">
      <c r="A177" s="19">
        <v>45460</v>
      </c>
      <c r="B177" s="38">
        <v>5.4130000000000003</v>
      </c>
      <c r="I177" s="47">
        <v>45449</v>
      </c>
      <c r="J177" s="39">
        <v>79.87</v>
      </c>
    </row>
    <row r="178" spans="1:10">
      <c r="A178" s="19">
        <v>45461</v>
      </c>
      <c r="B178" s="38">
        <v>5.4074</v>
      </c>
      <c r="I178" s="47">
        <v>45450</v>
      </c>
      <c r="J178" s="39">
        <v>79.62</v>
      </c>
    </row>
    <row r="179" spans="1:10">
      <c r="A179" s="19">
        <v>45462</v>
      </c>
      <c r="B179" s="38">
        <v>5.4646999999999997</v>
      </c>
      <c r="I179" s="47">
        <v>45453</v>
      </c>
      <c r="J179" s="39">
        <v>81.63</v>
      </c>
    </row>
    <row r="180" spans="1:10">
      <c r="A180" s="19">
        <v>45463</v>
      </c>
      <c r="B180" s="38">
        <v>5.4253999999999998</v>
      </c>
      <c r="I180" s="47">
        <v>45454</v>
      </c>
      <c r="J180" s="39">
        <v>81.92</v>
      </c>
    </row>
    <row r="181" spans="1:10">
      <c r="A181" s="19">
        <v>45464</v>
      </c>
      <c r="B181" s="38">
        <v>5.4416000000000002</v>
      </c>
      <c r="I181" s="47">
        <v>45455</v>
      </c>
      <c r="J181" s="39">
        <v>82.6</v>
      </c>
    </row>
    <row r="182" spans="1:10">
      <c r="A182" s="19">
        <v>45467</v>
      </c>
      <c r="B182" s="38">
        <v>5.4</v>
      </c>
      <c r="I182" s="47">
        <v>45456</v>
      </c>
      <c r="J182" s="39">
        <v>82.75</v>
      </c>
    </row>
    <row r="183" spans="1:10">
      <c r="A183" s="19">
        <v>45468</v>
      </c>
      <c r="B183" s="38">
        <v>5.4290000000000003</v>
      </c>
      <c r="I183" s="47">
        <v>45457</v>
      </c>
      <c r="J183" s="39">
        <v>82.62</v>
      </c>
    </row>
    <row r="184" spans="1:10">
      <c r="A184" s="19">
        <v>45469</v>
      </c>
      <c r="B184" s="38">
        <v>5.5096999999999996</v>
      </c>
      <c r="I184" s="47">
        <v>45460</v>
      </c>
      <c r="J184" s="39">
        <v>84.25</v>
      </c>
    </row>
    <row r="185" spans="1:10">
      <c r="A185" s="19">
        <v>45470</v>
      </c>
      <c r="B185" s="38">
        <v>5.5228999999999999</v>
      </c>
      <c r="I185" s="47">
        <v>45461</v>
      </c>
      <c r="J185" s="39">
        <v>85.33</v>
      </c>
    </row>
    <row r="186" spans="1:10">
      <c r="A186" s="19">
        <v>45471</v>
      </c>
      <c r="B186" s="38">
        <v>5.5589000000000004</v>
      </c>
      <c r="I186" s="47">
        <v>45462</v>
      </c>
      <c r="J186" s="39">
        <v>85.07</v>
      </c>
    </row>
    <row r="187" spans="1:10">
      <c r="A187" s="19">
        <v>45474</v>
      </c>
      <c r="B187" s="38">
        <v>5.5892999999999997</v>
      </c>
      <c r="I187" s="47">
        <v>45463</v>
      </c>
      <c r="J187" s="39">
        <v>85.71</v>
      </c>
    </row>
    <row r="188" spans="1:10">
      <c r="A188" s="19">
        <v>45475</v>
      </c>
      <c r="B188" s="38">
        <v>5.6677</v>
      </c>
      <c r="I188" s="47">
        <v>45464</v>
      </c>
      <c r="J188" s="39">
        <v>85.24</v>
      </c>
    </row>
    <row r="189" spans="1:10">
      <c r="A189" s="19">
        <v>45476</v>
      </c>
      <c r="B189" s="38">
        <v>5.5862999999999996</v>
      </c>
      <c r="I189" s="47">
        <v>45467</v>
      </c>
      <c r="J189" s="39">
        <v>86.01</v>
      </c>
    </row>
    <row r="190" spans="1:10">
      <c r="A190" s="19">
        <v>45477</v>
      </c>
      <c r="B190" s="38">
        <v>5.4839000000000002</v>
      </c>
      <c r="I190" s="47">
        <v>45468</v>
      </c>
      <c r="J190" s="39">
        <v>85.01</v>
      </c>
    </row>
    <row r="191" spans="1:10">
      <c r="A191" s="19">
        <v>45478</v>
      </c>
      <c r="B191" s="38">
        <v>5.4969999999999999</v>
      </c>
      <c r="I191" s="47">
        <v>45469</v>
      </c>
      <c r="J191" s="39">
        <v>85.25</v>
      </c>
    </row>
    <row r="192" spans="1:10">
      <c r="A192" s="19">
        <v>45481</v>
      </c>
      <c r="B192" s="38">
        <v>5.4720000000000004</v>
      </c>
      <c r="I192" s="47">
        <v>45470</v>
      </c>
      <c r="J192" s="39">
        <v>86.39</v>
      </c>
    </row>
    <row r="193" spans="1:10">
      <c r="A193" s="19">
        <v>45482</v>
      </c>
      <c r="B193" s="38">
        <v>5.4386999999999999</v>
      </c>
      <c r="I193" s="47">
        <v>45471</v>
      </c>
      <c r="J193" s="39">
        <v>86.41</v>
      </c>
    </row>
    <row r="194" spans="1:10">
      <c r="A194" s="19">
        <v>45483</v>
      </c>
      <c r="B194" s="38">
        <v>5.3967000000000001</v>
      </c>
      <c r="I194" s="47">
        <v>45474</v>
      </c>
      <c r="J194" s="39">
        <v>86.6</v>
      </c>
    </row>
    <row r="195" spans="1:10">
      <c r="A195" s="19">
        <v>45484</v>
      </c>
      <c r="B195" s="38">
        <v>5.41</v>
      </c>
      <c r="I195" s="47">
        <v>45475</v>
      </c>
      <c r="J195" s="39">
        <v>86.24</v>
      </c>
    </row>
    <row r="196" spans="1:10">
      <c r="A196" s="19">
        <v>45485</v>
      </c>
      <c r="B196" s="38">
        <v>5.4528999999999996</v>
      </c>
      <c r="I196" s="47">
        <v>45476</v>
      </c>
      <c r="J196" s="39">
        <v>87.34</v>
      </c>
    </row>
    <row r="197" spans="1:10">
      <c r="A197" s="19">
        <v>45488</v>
      </c>
      <c r="B197" s="38">
        <v>5.4562999999999997</v>
      </c>
      <c r="I197" s="47">
        <v>45477</v>
      </c>
      <c r="J197" s="39">
        <v>87.43</v>
      </c>
    </row>
    <row r="198" spans="1:10">
      <c r="A198" s="19">
        <v>45489</v>
      </c>
      <c r="B198" s="38">
        <v>5.4273999999999996</v>
      </c>
      <c r="I198" s="47">
        <v>45478</v>
      </c>
      <c r="J198" s="39">
        <v>86.54</v>
      </c>
    </row>
    <row r="199" spans="1:10">
      <c r="A199" s="19">
        <v>45490</v>
      </c>
      <c r="B199" s="38">
        <v>5.4669999999999996</v>
      </c>
      <c r="I199" s="47">
        <v>45481</v>
      </c>
      <c r="J199" s="39">
        <v>85.75</v>
      </c>
    </row>
    <row r="200" spans="1:10">
      <c r="A200" s="19">
        <v>45491</v>
      </c>
      <c r="B200" s="38">
        <v>5.5426000000000002</v>
      </c>
      <c r="I200" s="47">
        <v>45482</v>
      </c>
      <c r="J200" s="39">
        <v>84.66</v>
      </c>
    </row>
    <row r="201" spans="1:10">
      <c r="A201" s="19">
        <v>45492</v>
      </c>
      <c r="B201" s="38">
        <v>5.5542999999999996</v>
      </c>
      <c r="I201" s="47">
        <v>45483</v>
      </c>
      <c r="J201" s="39">
        <v>85.08</v>
      </c>
    </row>
    <row r="202" spans="1:10">
      <c r="A202" s="19">
        <v>45495</v>
      </c>
      <c r="B202" s="38">
        <v>5.5598000000000001</v>
      </c>
      <c r="I202" s="47">
        <v>45484</v>
      </c>
      <c r="J202" s="39">
        <v>85.4</v>
      </c>
    </row>
    <row r="203" spans="1:10">
      <c r="A203" s="19">
        <v>45496</v>
      </c>
      <c r="B203" s="38">
        <v>5.5807000000000002</v>
      </c>
      <c r="I203" s="47">
        <v>45485</v>
      </c>
      <c r="J203" s="39">
        <v>85.03</v>
      </c>
    </row>
    <row r="204" spans="1:10">
      <c r="A204" s="19">
        <v>45497</v>
      </c>
      <c r="B204" s="38">
        <v>5.6345999999999998</v>
      </c>
      <c r="I204" s="47">
        <v>45488</v>
      </c>
      <c r="J204" s="39">
        <v>84.85</v>
      </c>
    </row>
    <row r="205" spans="1:10">
      <c r="A205" s="19">
        <v>45498</v>
      </c>
      <c r="B205" s="38">
        <v>5.6402000000000001</v>
      </c>
      <c r="I205" s="47">
        <v>45489</v>
      </c>
      <c r="J205" s="39">
        <v>83.73</v>
      </c>
    </row>
    <row r="206" spans="1:10">
      <c r="A206" s="19">
        <v>45499</v>
      </c>
      <c r="B206" s="38">
        <v>5.6464999999999996</v>
      </c>
      <c r="I206" s="47">
        <v>45490</v>
      </c>
      <c r="J206" s="39">
        <v>85.08</v>
      </c>
    </row>
    <row r="207" spans="1:10">
      <c r="A207" s="19">
        <v>45502</v>
      </c>
      <c r="B207" s="38">
        <v>5.6478999999999999</v>
      </c>
      <c r="I207" s="47">
        <v>45491</v>
      </c>
      <c r="J207" s="39">
        <v>85.11</v>
      </c>
    </row>
    <row r="208" spans="1:10">
      <c r="A208" s="19">
        <v>45503</v>
      </c>
      <c r="B208" s="38">
        <v>5.6532</v>
      </c>
      <c r="I208" s="47">
        <v>45492</v>
      </c>
      <c r="J208" s="39">
        <v>82.63</v>
      </c>
    </row>
    <row r="209" spans="1:10">
      <c r="A209" s="19">
        <v>45504</v>
      </c>
      <c r="B209" s="38">
        <v>5.6620999999999997</v>
      </c>
      <c r="I209" s="47">
        <v>45495</v>
      </c>
      <c r="J209" s="39">
        <v>82.4</v>
      </c>
    </row>
    <row r="210" spans="1:10">
      <c r="A210" s="19">
        <v>45505</v>
      </c>
      <c r="B210" s="38">
        <v>5.6680999999999999</v>
      </c>
      <c r="I210" s="47">
        <v>45496</v>
      </c>
      <c r="J210" s="39">
        <v>81.010000000000005</v>
      </c>
    </row>
    <row r="211" spans="1:10">
      <c r="A211" s="19">
        <v>45506</v>
      </c>
      <c r="B211" s="38">
        <v>5.7366000000000001</v>
      </c>
      <c r="I211" s="47">
        <v>45497</v>
      </c>
      <c r="J211" s="39">
        <v>81.709999999999994</v>
      </c>
    </row>
    <row r="212" spans="1:10">
      <c r="A212" s="19">
        <v>45509</v>
      </c>
      <c r="B212" s="38">
        <v>5.7645999999999997</v>
      </c>
      <c r="I212" s="47">
        <v>45498</v>
      </c>
      <c r="J212" s="39">
        <v>82.37</v>
      </c>
    </row>
    <row r="213" spans="1:10">
      <c r="A213" s="19">
        <v>45510</v>
      </c>
      <c r="B213" s="38">
        <v>5.6528</v>
      </c>
      <c r="I213" s="47">
        <v>45499</v>
      </c>
      <c r="J213" s="39">
        <v>81.13</v>
      </c>
    </row>
    <row r="214" spans="1:10">
      <c r="A214" s="19">
        <v>45511</v>
      </c>
      <c r="B214" s="38">
        <v>5.6093000000000002</v>
      </c>
      <c r="I214" s="47">
        <v>45502</v>
      </c>
      <c r="J214" s="39">
        <v>79.78</v>
      </c>
    </row>
    <row r="215" spans="1:10">
      <c r="A215" s="19">
        <v>45512</v>
      </c>
      <c r="B215" s="38">
        <v>5.6172000000000004</v>
      </c>
      <c r="I215" s="47">
        <v>45503</v>
      </c>
      <c r="J215" s="39">
        <v>78.63</v>
      </c>
    </row>
    <row r="216" spans="1:10">
      <c r="A216" s="19">
        <v>45513</v>
      </c>
      <c r="B216" s="38">
        <v>5.5114999999999998</v>
      </c>
      <c r="I216" s="47">
        <v>45504</v>
      </c>
      <c r="J216" s="39">
        <v>80.72</v>
      </c>
    </row>
    <row r="217" spans="1:10">
      <c r="A217" s="19">
        <v>45516</v>
      </c>
      <c r="B217" s="38">
        <v>5.4911000000000003</v>
      </c>
      <c r="I217" s="47">
        <v>45505</v>
      </c>
      <c r="J217" s="39">
        <v>79.52</v>
      </c>
    </row>
    <row r="218" spans="1:10">
      <c r="A218" s="19">
        <v>45517</v>
      </c>
      <c r="B218" s="38">
        <v>5.4874999999999998</v>
      </c>
      <c r="I218" s="47">
        <v>45506</v>
      </c>
      <c r="J218" s="39">
        <v>76.81</v>
      </c>
    </row>
    <row r="219" spans="1:10">
      <c r="A219" s="19">
        <v>45518</v>
      </c>
      <c r="B219" s="38">
        <v>5.4501999999999997</v>
      </c>
      <c r="I219" s="47">
        <v>45509</v>
      </c>
      <c r="J219" s="39">
        <v>76.3</v>
      </c>
    </row>
    <row r="220" spans="1:10">
      <c r="A220" s="19">
        <v>45519</v>
      </c>
      <c r="B220" s="38">
        <v>5.4650999999999996</v>
      </c>
      <c r="I220" s="47">
        <v>45510</v>
      </c>
      <c r="J220" s="39">
        <v>76.48</v>
      </c>
    </row>
    <row r="221" spans="1:10">
      <c r="A221" s="19">
        <v>45520</v>
      </c>
      <c r="B221" s="38">
        <v>5.4631999999999996</v>
      </c>
      <c r="I221" s="47">
        <v>45511</v>
      </c>
      <c r="J221" s="39">
        <v>78.33</v>
      </c>
    </row>
    <row r="222" spans="1:10">
      <c r="A222" s="19">
        <v>45523</v>
      </c>
      <c r="B222" s="38">
        <v>5.4237000000000002</v>
      </c>
      <c r="I222" s="47">
        <v>45512</v>
      </c>
      <c r="J222" s="39">
        <v>79.16</v>
      </c>
    </row>
    <row r="223" spans="1:10">
      <c r="A223" s="19">
        <v>45524</v>
      </c>
      <c r="B223" s="38">
        <v>5.4546999999999999</v>
      </c>
      <c r="I223" s="47">
        <v>45513</v>
      </c>
      <c r="J223" s="39">
        <v>79.66</v>
      </c>
    </row>
    <row r="224" spans="1:10">
      <c r="A224" s="19">
        <v>45525</v>
      </c>
      <c r="B224" s="38">
        <v>5.4706999999999999</v>
      </c>
      <c r="I224" s="47">
        <v>45516</v>
      </c>
      <c r="J224" s="39">
        <v>82.3</v>
      </c>
    </row>
    <row r="225" spans="1:10">
      <c r="A225" s="19">
        <v>45526</v>
      </c>
      <c r="B225" s="38">
        <v>5.5523999999999996</v>
      </c>
      <c r="I225" s="47">
        <v>45517</v>
      </c>
      <c r="J225" s="39">
        <v>80.69</v>
      </c>
    </row>
    <row r="226" spans="1:10">
      <c r="A226" s="19">
        <v>45527</v>
      </c>
      <c r="B226" s="38">
        <v>5.5263</v>
      </c>
      <c r="I226" s="47">
        <v>45518</v>
      </c>
      <c r="J226" s="39">
        <v>79.760000000000005</v>
      </c>
    </row>
    <row r="227" spans="1:10">
      <c r="A227" s="19">
        <v>45530</v>
      </c>
      <c r="B227" s="38">
        <v>5.4920999999999998</v>
      </c>
      <c r="I227" s="47">
        <v>45519</v>
      </c>
      <c r="J227" s="39">
        <v>81.040000000000006</v>
      </c>
    </row>
    <row r="228" spans="1:10">
      <c r="A228" s="19">
        <v>45531</v>
      </c>
      <c r="B228" s="38">
        <v>5.4969000000000001</v>
      </c>
      <c r="I228" s="47">
        <v>45520</v>
      </c>
      <c r="J228" s="39">
        <v>79.680000000000007</v>
      </c>
    </row>
    <row r="229" spans="1:10">
      <c r="A229" s="19">
        <v>45532</v>
      </c>
      <c r="B229" s="38">
        <v>5.5315000000000003</v>
      </c>
      <c r="I229" s="47">
        <v>45523</v>
      </c>
      <c r="J229" s="39">
        <v>77.66</v>
      </c>
    </row>
    <row r="230" spans="1:10">
      <c r="A230" s="19">
        <v>45533</v>
      </c>
      <c r="B230" s="38">
        <v>5.6357999999999997</v>
      </c>
      <c r="I230" s="47">
        <v>45524</v>
      </c>
      <c r="J230" s="39">
        <v>77.2</v>
      </c>
    </row>
    <row r="231" spans="1:10">
      <c r="A231" s="19">
        <v>45534</v>
      </c>
      <c r="B231" s="38">
        <v>5.6562000000000001</v>
      </c>
      <c r="I231" s="47">
        <v>45525</v>
      </c>
      <c r="J231" s="39">
        <v>76.05</v>
      </c>
    </row>
    <row r="232" spans="1:10">
      <c r="A232" s="19">
        <v>45537</v>
      </c>
      <c r="B232" s="38">
        <v>5.6230000000000002</v>
      </c>
      <c r="I232" s="47">
        <v>45526</v>
      </c>
      <c r="J232" s="39">
        <v>77.22</v>
      </c>
    </row>
    <row r="233" spans="1:10">
      <c r="A233" s="19">
        <v>45538</v>
      </c>
      <c r="B233" s="38">
        <v>5.6223999999999998</v>
      </c>
      <c r="I233" s="47">
        <v>45527</v>
      </c>
      <c r="J233" s="39">
        <v>79.02</v>
      </c>
    </row>
    <row r="234" spans="1:10">
      <c r="A234" s="19">
        <v>45539</v>
      </c>
      <c r="B234" s="38">
        <v>5.6359000000000004</v>
      </c>
      <c r="I234" s="47">
        <v>45530</v>
      </c>
      <c r="J234" s="39">
        <v>81.430000000000007</v>
      </c>
    </row>
    <row r="235" spans="1:10">
      <c r="A235" s="19">
        <v>45540</v>
      </c>
      <c r="B235" s="38">
        <v>5.6048999999999998</v>
      </c>
      <c r="I235" s="47">
        <v>45531</v>
      </c>
      <c r="J235" s="39">
        <v>79.55</v>
      </c>
    </row>
    <row r="236" spans="1:10">
      <c r="A236" s="19">
        <v>45541</v>
      </c>
      <c r="B236" s="38">
        <v>5.5701999999999998</v>
      </c>
      <c r="I236" s="47">
        <v>45532</v>
      </c>
      <c r="J236" s="39">
        <v>78.650000000000006</v>
      </c>
    </row>
    <row r="237" spans="1:10">
      <c r="A237" s="19">
        <v>45544</v>
      </c>
      <c r="B237" s="38">
        <v>5.6097000000000001</v>
      </c>
      <c r="I237" s="47">
        <v>45533</v>
      </c>
      <c r="J237" s="39">
        <v>79.94</v>
      </c>
    </row>
    <row r="238" spans="1:10">
      <c r="A238" s="19">
        <v>45545</v>
      </c>
      <c r="B238" s="38">
        <v>5.6254</v>
      </c>
      <c r="I238" s="47">
        <v>45534</v>
      </c>
      <c r="J238" s="39">
        <v>78.8</v>
      </c>
    </row>
    <row r="239" spans="1:10">
      <c r="A239" s="19">
        <v>45546</v>
      </c>
      <c r="B239" s="38">
        <v>5.6387</v>
      </c>
      <c r="I239" s="47">
        <v>45537</v>
      </c>
      <c r="J239" s="39">
        <v>77.52</v>
      </c>
    </row>
    <row r="240" spans="1:10">
      <c r="A240" s="19">
        <v>45547</v>
      </c>
      <c r="B240" s="38">
        <v>5.6554000000000002</v>
      </c>
      <c r="I240" s="47">
        <v>45538</v>
      </c>
      <c r="J240" s="39">
        <v>73.75</v>
      </c>
    </row>
    <row r="241" spans="1:10">
      <c r="A241" s="19">
        <v>45548</v>
      </c>
      <c r="B241" s="38">
        <v>5.5716999999999999</v>
      </c>
      <c r="I241" s="47">
        <v>45539</v>
      </c>
      <c r="J241" s="39">
        <v>72.7</v>
      </c>
    </row>
    <row r="242" spans="1:10">
      <c r="A242" s="19">
        <v>45551</v>
      </c>
      <c r="B242" s="38">
        <v>5.5206999999999997</v>
      </c>
      <c r="I242" s="47">
        <v>45540</v>
      </c>
      <c r="J242" s="39">
        <v>72.69</v>
      </c>
    </row>
    <row r="243" spans="1:10">
      <c r="A243" s="19">
        <v>45552</v>
      </c>
      <c r="B243" s="38">
        <v>5.5010000000000003</v>
      </c>
      <c r="I243" s="47">
        <v>45541</v>
      </c>
      <c r="J243" s="39">
        <v>71.06</v>
      </c>
    </row>
    <row r="244" spans="1:10">
      <c r="A244" s="19">
        <v>45553</v>
      </c>
      <c r="B244" s="38">
        <v>5.4767000000000001</v>
      </c>
      <c r="I244" s="47">
        <v>45544</v>
      </c>
      <c r="J244" s="39">
        <v>71.84</v>
      </c>
    </row>
    <row r="245" spans="1:10">
      <c r="A245" s="19">
        <v>45554</v>
      </c>
      <c r="B245" s="38">
        <v>5.4188999999999998</v>
      </c>
      <c r="I245" s="47">
        <v>45545</v>
      </c>
      <c r="J245" s="39">
        <v>69.19</v>
      </c>
    </row>
    <row r="246" spans="1:10">
      <c r="A246" s="19">
        <v>45555</v>
      </c>
      <c r="B246" s="38">
        <v>5.4775</v>
      </c>
      <c r="I246" s="47">
        <v>45546</v>
      </c>
      <c r="J246" s="39">
        <v>70.61</v>
      </c>
    </row>
    <row r="247" spans="1:10">
      <c r="A247" s="19">
        <v>45558</v>
      </c>
      <c r="B247" s="38">
        <v>5.5446</v>
      </c>
      <c r="I247" s="47">
        <v>45547</v>
      </c>
      <c r="J247" s="39">
        <v>71.97</v>
      </c>
    </row>
    <row r="248" spans="1:10">
      <c r="A248" s="19">
        <v>45559</v>
      </c>
      <c r="B248" s="38">
        <v>5.4702000000000002</v>
      </c>
      <c r="I248" s="47">
        <v>45548</v>
      </c>
      <c r="J248" s="39">
        <v>71.61</v>
      </c>
    </row>
    <row r="249" spans="1:10">
      <c r="A249" s="19">
        <v>45560</v>
      </c>
      <c r="B249" s="38">
        <v>5.4736000000000002</v>
      </c>
      <c r="I249" s="47">
        <v>45551</v>
      </c>
      <c r="J249" s="39">
        <v>72.75</v>
      </c>
    </row>
    <row r="250" spans="1:10">
      <c r="A250" s="19">
        <v>45561</v>
      </c>
      <c r="B250" s="38">
        <v>5.4412000000000003</v>
      </c>
      <c r="I250" s="47">
        <v>45552</v>
      </c>
      <c r="J250" s="39">
        <v>73.7</v>
      </c>
    </row>
    <row r="251" spans="1:10">
      <c r="A251" s="19">
        <v>45562</v>
      </c>
      <c r="B251" s="38">
        <v>5.4431000000000003</v>
      </c>
      <c r="I251" s="47">
        <v>45553</v>
      </c>
      <c r="J251" s="39">
        <v>73.650000000000006</v>
      </c>
    </row>
    <row r="252" spans="1:10">
      <c r="A252" s="19">
        <v>45565</v>
      </c>
      <c r="B252" s="38">
        <v>5.4481000000000002</v>
      </c>
      <c r="I252" s="47">
        <v>45554</v>
      </c>
      <c r="J252" s="39">
        <v>74.88</v>
      </c>
    </row>
    <row r="253" spans="1:10">
      <c r="A253" s="19">
        <v>45566</v>
      </c>
      <c r="B253" s="38">
        <v>5.4520999999999997</v>
      </c>
      <c r="I253" s="47">
        <v>45555</v>
      </c>
      <c r="J253" s="39">
        <v>74.489999999999995</v>
      </c>
    </row>
    <row r="254" spans="1:10">
      <c r="A254" s="19">
        <v>45567</v>
      </c>
      <c r="B254" s="38">
        <v>5.4305000000000003</v>
      </c>
      <c r="I254" s="47">
        <v>45558</v>
      </c>
      <c r="J254" s="39">
        <v>73.900000000000006</v>
      </c>
    </row>
    <row r="255" spans="1:10">
      <c r="A255" s="19">
        <v>45568</v>
      </c>
      <c r="B255" s="38">
        <v>5.4850000000000003</v>
      </c>
      <c r="I255" s="47">
        <v>45559</v>
      </c>
      <c r="J255" s="39">
        <v>75.17</v>
      </c>
    </row>
    <row r="256" spans="1:10">
      <c r="A256" s="19">
        <v>45569</v>
      </c>
      <c r="B256" s="38">
        <v>5.4686000000000003</v>
      </c>
      <c r="I256" s="47">
        <v>45560</v>
      </c>
      <c r="J256" s="39">
        <v>73.459999999999994</v>
      </c>
    </row>
    <row r="257" spans="1:10">
      <c r="A257" s="19">
        <v>45572</v>
      </c>
      <c r="B257" s="38">
        <v>5.4626000000000001</v>
      </c>
      <c r="I257" s="47">
        <v>45561</v>
      </c>
      <c r="J257" s="39">
        <v>71.599999999999994</v>
      </c>
    </row>
    <row r="258" spans="1:10">
      <c r="A258" s="19">
        <v>45573</v>
      </c>
      <c r="B258" s="38">
        <v>5.5197000000000003</v>
      </c>
      <c r="I258" s="47">
        <v>45562</v>
      </c>
      <c r="J258" s="39">
        <v>71.98</v>
      </c>
    </row>
    <row r="259" spans="1:10">
      <c r="A259" s="19">
        <v>45574</v>
      </c>
      <c r="B259" s="38">
        <v>5.5736999999999997</v>
      </c>
      <c r="I259" s="47">
        <v>45565</v>
      </c>
      <c r="J259" s="39">
        <v>71.77</v>
      </c>
    </row>
    <row r="260" spans="1:10">
      <c r="A260" s="19">
        <v>45575</v>
      </c>
      <c r="B260" s="38">
        <v>5.5819000000000001</v>
      </c>
      <c r="I260" s="47">
        <v>45566</v>
      </c>
      <c r="J260" s="39">
        <v>73.56</v>
      </c>
    </row>
    <row r="261" spans="1:10">
      <c r="A261" s="19">
        <v>45576</v>
      </c>
      <c r="B261" s="38">
        <v>5.6262999999999996</v>
      </c>
      <c r="I261" s="47">
        <v>45567</v>
      </c>
      <c r="J261" s="39">
        <v>73.900000000000006</v>
      </c>
    </row>
    <row r="262" spans="1:10">
      <c r="A262" s="19">
        <v>45579</v>
      </c>
      <c r="B262" s="38">
        <v>5.6044999999999998</v>
      </c>
      <c r="I262" s="47">
        <v>45568</v>
      </c>
      <c r="J262" s="39">
        <v>77.62</v>
      </c>
    </row>
    <row r="263" spans="1:10">
      <c r="A263" s="19">
        <v>45580</v>
      </c>
      <c r="B263" s="38">
        <v>5.6378000000000004</v>
      </c>
      <c r="I263" s="47">
        <v>45569</v>
      </c>
      <c r="J263" s="39">
        <v>78.05</v>
      </c>
    </row>
    <row r="264" spans="1:10">
      <c r="A264" s="19">
        <v>45581</v>
      </c>
      <c r="B264" s="38">
        <v>5.6749000000000001</v>
      </c>
      <c r="I264" s="47">
        <v>45572</v>
      </c>
      <c r="J264" s="39">
        <v>80.930000000000007</v>
      </c>
    </row>
    <row r="265" spans="1:10">
      <c r="A265" s="19">
        <v>45582</v>
      </c>
      <c r="B265" s="38">
        <v>5.6757999999999997</v>
      </c>
      <c r="I265" s="47">
        <v>45573</v>
      </c>
      <c r="J265" s="39">
        <v>77.180000000000007</v>
      </c>
    </row>
    <row r="266" spans="1:10">
      <c r="A266" s="19">
        <v>45583</v>
      </c>
      <c r="B266" s="38">
        <v>5.6672000000000002</v>
      </c>
      <c r="I266" s="47">
        <v>45574</v>
      </c>
      <c r="J266" s="39">
        <v>76.58</v>
      </c>
    </row>
    <row r="267" spans="1:10">
      <c r="A267" s="19">
        <v>45586</v>
      </c>
      <c r="B267" s="38">
        <v>5.7068000000000003</v>
      </c>
      <c r="I267" s="47">
        <v>45575</v>
      </c>
      <c r="J267" s="39">
        <v>79.400000000000006</v>
      </c>
    </row>
    <row r="268" spans="1:10">
      <c r="A268" s="19">
        <v>45587</v>
      </c>
      <c r="B268" s="38">
        <v>5.6958000000000002</v>
      </c>
      <c r="I268" s="47">
        <v>45576</v>
      </c>
      <c r="J268" s="39">
        <v>79.040000000000006</v>
      </c>
    </row>
    <row r="269" spans="1:10">
      <c r="A269" s="19">
        <v>45588</v>
      </c>
      <c r="B269" s="38">
        <v>5.7149000000000001</v>
      </c>
      <c r="I269" s="47">
        <v>45579</v>
      </c>
      <c r="J269" s="39">
        <v>77.459999999999994</v>
      </c>
    </row>
    <row r="270" spans="1:10">
      <c r="A270" s="19">
        <v>45589</v>
      </c>
      <c r="B270" s="38">
        <v>5.7087000000000003</v>
      </c>
      <c r="I270" s="47">
        <v>45580</v>
      </c>
      <c r="J270" s="39">
        <v>74.25</v>
      </c>
    </row>
    <row r="271" spans="1:10">
      <c r="A271" s="19">
        <v>45590</v>
      </c>
      <c r="B271" s="38">
        <v>5.6969000000000003</v>
      </c>
      <c r="I271" s="47">
        <v>45581</v>
      </c>
      <c r="J271" s="39">
        <v>74.22</v>
      </c>
    </row>
    <row r="272" spans="1:10">
      <c r="A272" s="19">
        <v>45593</v>
      </c>
      <c r="B272" s="38">
        <v>5.6988000000000003</v>
      </c>
      <c r="I272" s="47">
        <v>45582</v>
      </c>
      <c r="J272" s="39">
        <v>74.45</v>
      </c>
    </row>
    <row r="273" spans="1:10">
      <c r="A273" s="19">
        <v>45594</v>
      </c>
      <c r="B273" s="38">
        <v>5.7140000000000004</v>
      </c>
      <c r="I273" s="47">
        <v>45583</v>
      </c>
      <c r="J273" s="39">
        <v>73.06</v>
      </c>
    </row>
    <row r="274" spans="1:10">
      <c r="A274" s="19">
        <v>45595</v>
      </c>
      <c r="B274" s="38">
        <v>5.7801</v>
      </c>
      <c r="I274" s="47">
        <v>45586</v>
      </c>
      <c r="J274" s="39">
        <v>74.290000000000006</v>
      </c>
    </row>
    <row r="275" spans="1:10">
      <c r="A275" s="19">
        <v>45596</v>
      </c>
      <c r="B275" s="38">
        <v>5.7778999999999998</v>
      </c>
      <c r="I275" s="47">
        <v>45587</v>
      </c>
      <c r="J275" s="39">
        <v>76.040000000000006</v>
      </c>
    </row>
    <row r="276" spans="1:10">
      <c r="A276" s="19">
        <v>45597</v>
      </c>
      <c r="B276" s="38">
        <v>5.8072999999999997</v>
      </c>
      <c r="I276" s="47">
        <v>45588</v>
      </c>
      <c r="J276" s="39">
        <v>74.959999999999994</v>
      </c>
    </row>
    <row r="277" spans="1:10">
      <c r="A277" s="19">
        <v>45600</v>
      </c>
      <c r="B277" s="38">
        <v>5.7897999999999996</v>
      </c>
      <c r="I277" s="47">
        <v>45589</v>
      </c>
      <c r="J277" s="39">
        <v>74.38</v>
      </c>
    </row>
    <row r="278" spans="1:10">
      <c r="A278" s="19">
        <v>45601</v>
      </c>
      <c r="B278" s="38">
        <v>5.7846000000000002</v>
      </c>
      <c r="I278" s="47">
        <v>45590</v>
      </c>
      <c r="J278" s="39">
        <v>76.05</v>
      </c>
    </row>
    <row r="279" spans="1:10">
      <c r="A279" s="19">
        <v>45602</v>
      </c>
      <c r="B279" s="38">
        <v>5.7648000000000001</v>
      </c>
      <c r="I279" s="47">
        <v>45593</v>
      </c>
      <c r="J279" s="39">
        <v>71.42</v>
      </c>
    </row>
    <row r="280" spans="1:10">
      <c r="A280" s="19">
        <v>45603</v>
      </c>
      <c r="B280" s="38">
        <v>5.6623999999999999</v>
      </c>
      <c r="I280" s="47">
        <v>45594</v>
      </c>
      <c r="J280" s="39">
        <v>71.12</v>
      </c>
    </row>
    <row r="281" spans="1:10">
      <c r="A281" s="19">
        <v>45604</v>
      </c>
      <c r="B281" s="38">
        <v>5.7648000000000001</v>
      </c>
      <c r="I281" s="47">
        <v>45595</v>
      </c>
      <c r="J281" s="39">
        <v>72.55</v>
      </c>
    </row>
    <row r="282" spans="1:10">
      <c r="A282" s="19">
        <v>45607</v>
      </c>
      <c r="B282" s="38">
        <v>5.798</v>
      </c>
      <c r="I282" s="47">
        <v>45596</v>
      </c>
      <c r="J282" s="39">
        <v>73.16</v>
      </c>
    </row>
    <row r="283" spans="1:10">
      <c r="A283" s="19">
        <v>45608</v>
      </c>
      <c r="B283" s="38">
        <v>5.7694000000000001</v>
      </c>
      <c r="I283" s="47">
        <v>45597</v>
      </c>
      <c r="J283" s="39">
        <v>73.099999999999994</v>
      </c>
    </row>
    <row r="284" spans="1:10">
      <c r="A284" s="19">
        <v>45609</v>
      </c>
      <c r="B284" s="38">
        <v>5.7713000000000001</v>
      </c>
      <c r="I284" s="47">
        <v>45600</v>
      </c>
      <c r="J284" s="39">
        <v>75.08</v>
      </c>
    </row>
    <row r="285" spans="1:10">
      <c r="A285" s="19">
        <v>45610</v>
      </c>
      <c r="B285" s="38">
        <v>5.7885</v>
      </c>
      <c r="I285" s="47">
        <v>45601</v>
      </c>
      <c r="J285" s="39">
        <v>75.53</v>
      </c>
    </row>
    <row r="286" spans="1:10">
      <c r="A286" s="19">
        <v>45614</v>
      </c>
      <c r="B286" s="38">
        <v>5.7603</v>
      </c>
      <c r="I286" s="47">
        <v>45602</v>
      </c>
      <c r="J286" s="39">
        <v>74.92</v>
      </c>
    </row>
    <row r="287" spans="1:10">
      <c r="A287" s="19">
        <v>45615</v>
      </c>
      <c r="B287" s="38">
        <v>5.7743000000000002</v>
      </c>
      <c r="I287" s="47">
        <v>45603</v>
      </c>
      <c r="J287" s="39">
        <v>75.63</v>
      </c>
    </row>
    <row r="288" spans="1:10">
      <c r="A288" s="19">
        <v>45617</v>
      </c>
      <c r="B288" s="38">
        <v>5.8173000000000004</v>
      </c>
      <c r="I288" s="47">
        <v>45604</v>
      </c>
      <c r="J288" s="39">
        <v>73.87</v>
      </c>
    </row>
    <row r="289" spans="1:10">
      <c r="A289" s="19">
        <v>45618</v>
      </c>
      <c r="B289" s="38">
        <v>5.8124000000000002</v>
      </c>
      <c r="I289" s="47">
        <v>45607</v>
      </c>
      <c r="J289" s="39">
        <v>71.83</v>
      </c>
    </row>
    <row r="290" spans="1:10">
      <c r="A290" s="19">
        <v>45621</v>
      </c>
      <c r="B290" s="38">
        <v>5.8002000000000002</v>
      </c>
      <c r="I290" s="47">
        <v>45608</v>
      </c>
      <c r="J290" s="39">
        <v>71.89</v>
      </c>
    </row>
    <row r="291" spans="1:10">
      <c r="A291" s="19">
        <v>45622</v>
      </c>
      <c r="B291" s="38">
        <v>5.7990000000000004</v>
      </c>
      <c r="I291" s="47">
        <v>45609</v>
      </c>
      <c r="J291" s="39">
        <v>72.28</v>
      </c>
    </row>
    <row r="292" spans="1:10">
      <c r="A292" s="19">
        <v>45623</v>
      </c>
      <c r="B292" s="38">
        <v>5.8291000000000004</v>
      </c>
      <c r="I292" s="47">
        <v>45610</v>
      </c>
      <c r="J292" s="39">
        <v>72.56</v>
      </c>
    </row>
    <row r="293" spans="1:10">
      <c r="A293" s="19">
        <v>45624</v>
      </c>
      <c r="B293" s="38">
        <v>5.9870999999999999</v>
      </c>
      <c r="I293" s="47">
        <v>45611</v>
      </c>
      <c r="J293" s="39">
        <v>71.040000000000006</v>
      </c>
    </row>
    <row r="294" spans="1:10">
      <c r="A294" s="19">
        <v>45625</v>
      </c>
      <c r="B294" s="38">
        <v>6.0534999999999997</v>
      </c>
      <c r="I294" s="47">
        <v>45614</v>
      </c>
      <c r="J294" s="39">
        <v>73.3</v>
      </c>
    </row>
    <row r="295" spans="1:10">
      <c r="A295" s="19">
        <v>45628</v>
      </c>
      <c r="B295" s="38">
        <v>6.0633999999999997</v>
      </c>
      <c r="I295" s="47">
        <v>45615</v>
      </c>
      <c r="J295" s="39">
        <v>73.31</v>
      </c>
    </row>
    <row r="296" spans="1:10">
      <c r="A296" s="19">
        <v>45629</v>
      </c>
      <c r="B296" s="38">
        <v>6.0707000000000004</v>
      </c>
      <c r="I296" s="47">
        <v>45616</v>
      </c>
      <c r="J296" s="39">
        <v>72.81</v>
      </c>
    </row>
    <row r="297" spans="1:10">
      <c r="A297" s="19">
        <v>45630</v>
      </c>
      <c r="B297" s="38">
        <v>6.0580999999999996</v>
      </c>
      <c r="I297" s="47">
        <v>45617</v>
      </c>
      <c r="J297" s="39">
        <v>74.23</v>
      </c>
    </row>
    <row r="298" spans="1:10">
      <c r="A298" s="19">
        <v>45631</v>
      </c>
      <c r="B298" s="38">
        <v>5.9848999999999997</v>
      </c>
      <c r="I298" s="47">
        <v>45618</v>
      </c>
      <c r="J298" s="39">
        <v>75.17</v>
      </c>
    </row>
    <row r="299" spans="1:10">
      <c r="A299" s="19">
        <v>45632</v>
      </c>
      <c r="B299" s="38">
        <v>6.0293000000000001</v>
      </c>
      <c r="I299" s="47">
        <v>45621</v>
      </c>
      <c r="J299" s="39">
        <v>73.010000000000005</v>
      </c>
    </row>
    <row r="300" spans="1:10">
      <c r="A300" s="19">
        <v>45635</v>
      </c>
      <c r="B300" s="38">
        <v>6.0570000000000004</v>
      </c>
      <c r="I300" s="47">
        <v>45622</v>
      </c>
      <c r="J300" s="39">
        <v>72.81</v>
      </c>
    </row>
    <row r="301" spans="1:10">
      <c r="A301" s="19">
        <v>45636</v>
      </c>
      <c r="B301" s="38">
        <v>6.0529000000000002</v>
      </c>
      <c r="I301" s="47">
        <v>45623</v>
      </c>
      <c r="J301" s="39">
        <v>72.83</v>
      </c>
    </row>
    <row r="302" spans="1:10">
      <c r="A302" s="19">
        <v>45637</v>
      </c>
      <c r="B302" s="38">
        <v>6.032</v>
      </c>
      <c r="I302" s="47">
        <v>45624</v>
      </c>
      <c r="J302" s="39">
        <v>73.28</v>
      </c>
    </row>
    <row r="303" spans="1:10">
      <c r="A303" s="19">
        <v>45638</v>
      </c>
      <c r="B303" s="38">
        <v>5.9408000000000003</v>
      </c>
      <c r="I303" s="47">
        <v>45625</v>
      </c>
      <c r="J303" s="39">
        <v>72.94</v>
      </c>
    </row>
    <row r="304" spans="1:10">
      <c r="A304" s="19">
        <v>45639</v>
      </c>
      <c r="B304" s="38">
        <v>6.04</v>
      </c>
      <c r="I304" s="47">
        <v>45628</v>
      </c>
      <c r="J304" s="39">
        <v>71.83</v>
      </c>
    </row>
    <row r="305" spans="1:10">
      <c r="A305" s="19">
        <v>45642</v>
      </c>
      <c r="B305" s="38">
        <v>6.0509000000000004</v>
      </c>
      <c r="I305" s="47">
        <v>45629</v>
      </c>
      <c r="J305" s="39">
        <v>73.62</v>
      </c>
    </row>
    <row r="306" spans="1:10">
      <c r="A306" s="19">
        <v>45643</v>
      </c>
      <c r="B306" s="38">
        <v>6.1684999999999999</v>
      </c>
      <c r="I306" s="47">
        <v>45630</v>
      </c>
      <c r="J306" s="39">
        <v>72.31</v>
      </c>
    </row>
    <row r="307" spans="1:10">
      <c r="A307" s="19">
        <v>45644</v>
      </c>
      <c r="B307" s="38">
        <v>6.1623999999999999</v>
      </c>
      <c r="I307" s="47">
        <v>45631</v>
      </c>
      <c r="J307" s="39">
        <v>72.09</v>
      </c>
    </row>
    <row r="308" spans="1:10">
      <c r="A308" s="19">
        <v>45645</v>
      </c>
      <c r="B308" s="38">
        <v>6.1840999999999999</v>
      </c>
      <c r="I308" s="47">
        <v>45632</v>
      </c>
      <c r="J308" s="39">
        <v>71.12</v>
      </c>
    </row>
    <row r="309" spans="1:10">
      <c r="A309" s="19">
        <v>45646</v>
      </c>
      <c r="B309" s="38">
        <v>6.0780000000000003</v>
      </c>
      <c r="I309" s="47">
        <v>45635</v>
      </c>
      <c r="J309" s="39">
        <v>72.14</v>
      </c>
    </row>
    <row r="310" spans="1:10">
      <c r="A310" s="19">
        <v>45649</v>
      </c>
      <c r="B310" s="38">
        <v>6.1612</v>
      </c>
      <c r="I310" s="47">
        <v>45636</v>
      </c>
      <c r="J310" s="39">
        <v>72.19</v>
      </c>
    </row>
    <row r="311" spans="1:10">
      <c r="A311" s="19">
        <v>45650</v>
      </c>
      <c r="B311" s="38">
        <v>6.1540999999999997</v>
      </c>
      <c r="I311" s="47">
        <v>45637</v>
      </c>
      <c r="J311" s="39">
        <v>73.52</v>
      </c>
    </row>
    <row r="312" spans="1:10">
      <c r="A312" s="19">
        <v>45652</v>
      </c>
      <c r="B312" s="38">
        <v>6.1656000000000004</v>
      </c>
      <c r="I312" s="47">
        <v>45638</v>
      </c>
      <c r="J312" s="39">
        <v>73.41</v>
      </c>
    </row>
    <row r="313" spans="1:10">
      <c r="A313" s="19">
        <v>45653</v>
      </c>
      <c r="B313" s="38">
        <v>6.1990999999999996</v>
      </c>
      <c r="I313" s="47">
        <v>45639</v>
      </c>
      <c r="J313" s="39">
        <v>74.489999999999995</v>
      </c>
    </row>
    <row r="314" spans="1:10">
      <c r="A314" s="19">
        <v>45656</v>
      </c>
      <c r="B314" s="38">
        <v>6.1923000000000004</v>
      </c>
      <c r="I314" s="47">
        <v>45642</v>
      </c>
      <c r="J314" s="39">
        <v>73.91</v>
      </c>
    </row>
    <row r="315" spans="1:10">
      <c r="A315" s="19">
        <v>45657</v>
      </c>
      <c r="B315" s="38">
        <v>6.1923000000000004</v>
      </c>
      <c r="I315" s="47">
        <v>45643</v>
      </c>
      <c r="J315" s="39">
        <v>73.19</v>
      </c>
    </row>
    <row r="316" spans="1:10">
      <c r="A316" s="19">
        <v>45659</v>
      </c>
      <c r="B316" s="38">
        <v>6.2085999999999997</v>
      </c>
      <c r="I316" s="47">
        <v>45644</v>
      </c>
      <c r="J316" s="39">
        <v>73.39</v>
      </c>
    </row>
    <row r="317" spans="1:10">
      <c r="A317" s="19">
        <v>45660</v>
      </c>
      <c r="B317" s="38">
        <v>6.1562999999999999</v>
      </c>
      <c r="I317" s="47">
        <v>45645</v>
      </c>
      <c r="J317" s="39">
        <v>72.88</v>
      </c>
    </row>
    <row r="318" spans="1:10">
      <c r="A318" s="19">
        <v>45663</v>
      </c>
      <c r="B318" s="38">
        <v>6.1119000000000003</v>
      </c>
      <c r="I318" s="47">
        <v>45646</v>
      </c>
      <c r="J318" s="39">
        <v>72.94</v>
      </c>
    </row>
    <row r="319" spans="1:10">
      <c r="A319" s="19">
        <v>45664</v>
      </c>
      <c r="B319" s="38">
        <v>6.0740999999999996</v>
      </c>
      <c r="I319" s="47">
        <v>45649</v>
      </c>
      <c r="J319" s="39">
        <v>72.63</v>
      </c>
    </row>
    <row r="320" spans="1:10">
      <c r="A320" s="19">
        <v>45665</v>
      </c>
      <c r="B320" s="38">
        <v>6.1321000000000003</v>
      </c>
      <c r="I320" s="47">
        <v>45650</v>
      </c>
      <c r="J320" s="39">
        <v>73.58</v>
      </c>
    </row>
    <row r="321" spans="1:10">
      <c r="A321" s="19">
        <v>45666</v>
      </c>
      <c r="B321" s="38">
        <v>6.0895999999999999</v>
      </c>
      <c r="I321" s="47">
        <v>45652</v>
      </c>
      <c r="J321" s="39">
        <v>73.260000000000005</v>
      </c>
    </row>
    <row r="322" spans="1:10">
      <c r="A322" s="19">
        <v>45667</v>
      </c>
      <c r="B322" s="38">
        <v>6.0964999999999998</v>
      </c>
      <c r="I322" s="47">
        <v>45653</v>
      </c>
      <c r="J322" s="39">
        <v>74.17</v>
      </c>
    </row>
    <row r="323" spans="1:10">
      <c r="A323" s="19">
        <v>45670</v>
      </c>
      <c r="B323" s="38">
        <v>6.1078999999999999</v>
      </c>
      <c r="I323" s="47">
        <v>45656</v>
      </c>
      <c r="J323" s="39">
        <v>74.39</v>
      </c>
    </row>
    <row r="324" spans="1:10">
      <c r="A324" s="19">
        <v>45671</v>
      </c>
      <c r="B324" s="38">
        <v>6.0670999999999999</v>
      </c>
      <c r="I324" s="47">
        <v>45657</v>
      </c>
      <c r="J324" s="39">
        <v>74.64</v>
      </c>
    </row>
    <row r="325" spans="1:10">
      <c r="A325" s="19">
        <v>45672</v>
      </c>
      <c r="B325" s="38">
        <v>6.0377000000000001</v>
      </c>
      <c r="I325" s="47">
        <v>45659</v>
      </c>
      <c r="J325" s="39">
        <v>75.930000000000007</v>
      </c>
    </row>
    <row r="326" spans="1:10">
      <c r="A326" s="19">
        <v>45673</v>
      </c>
      <c r="B326" s="38">
        <v>6.0321999999999996</v>
      </c>
      <c r="I326" s="47">
        <v>45660</v>
      </c>
      <c r="J326" s="39">
        <v>76.510000000000005</v>
      </c>
    </row>
    <row r="327" spans="1:10">
      <c r="A327" s="19">
        <v>45674</v>
      </c>
      <c r="B327" s="38">
        <v>6.0609000000000002</v>
      </c>
      <c r="I327" s="47">
        <v>45663</v>
      </c>
      <c r="J327" s="39">
        <v>76.3</v>
      </c>
    </row>
    <row r="328" spans="1:10">
      <c r="A328" s="19">
        <v>45677</v>
      </c>
      <c r="B328" s="38">
        <v>6.0498000000000003</v>
      </c>
      <c r="I328" s="47">
        <v>45664</v>
      </c>
      <c r="J328" s="39">
        <v>77.05</v>
      </c>
    </row>
    <row r="329" spans="1:10">
      <c r="A329" s="19">
        <v>45678</v>
      </c>
      <c r="B329" s="38">
        <v>6.0439999999999996</v>
      </c>
      <c r="I329" s="47">
        <v>45665</v>
      </c>
      <c r="J329" s="39">
        <v>76.16</v>
      </c>
    </row>
    <row r="330" spans="1:10">
      <c r="A330" s="19">
        <v>45679</v>
      </c>
      <c r="B330" s="38">
        <v>5.9673999999999996</v>
      </c>
      <c r="I330" s="47">
        <v>45666</v>
      </c>
      <c r="J330" s="39">
        <v>76.92</v>
      </c>
    </row>
    <row r="331" spans="1:10">
      <c r="A331" s="19">
        <v>45680</v>
      </c>
      <c r="B331" s="38">
        <v>5.9398999999999997</v>
      </c>
      <c r="I331" s="47">
        <v>45667</v>
      </c>
      <c r="J331" s="39">
        <v>79.760000000000005</v>
      </c>
    </row>
    <row r="332" spans="1:10">
      <c r="A332" s="19">
        <v>45681</v>
      </c>
      <c r="B332" s="38">
        <v>5.8925000000000001</v>
      </c>
      <c r="I332" s="47">
        <v>45670</v>
      </c>
      <c r="J332" s="39">
        <v>81.010000000000005</v>
      </c>
    </row>
    <row r="333" spans="1:10">
      <c r="A333" s="19">
        <v>45684</v>
      </c>
      <c r="B333" s="38">
        <v>5.9272</v>
      </c>
      <c r="I333" s="47">
        <v>45671</v>
      </c>
      <c r="J333" s="39">
        <v>79.92</v>
      </c>
    </row>
    <row r="334" spans="1:10">
      <c r="A334" s="19">
        <v>45685</v>
      </c>
      <c r="B334" s="38">
        <v>5.8929999999999998</v>
      </c>
      <c r="I334" s="47">
        <v>45672</v>
      </c>
      <c r="J334" s="39">
        <v>82.03</v>
      </c>
    </row>
    <row r="335" spans="1:10">
      <c r="A335" s="19">
        <v>45686</v>
      </c>
      <c r="B335" s="38">
        <v>5.8596000000000004</v>
      </c>
      <c r="I335" s="47">
        <v>45673</v>
      </c>
      <c r="J335" s="39">
        <v>81.290000000000006</v>
      </c>
    </row>
    <row r="336" spans="1:10">
      <c r="A336" s="19">
        <v>45687</v>
      </c>
      <c r="B336" s="38">
        <v>5.9005999999999998</v>
      </c>
      <c r="I336" s="47">
        <v>45674</v>
      </c>
      <c r="J336" s="39">
        <v>80.790000000000006</v>
      </c>
    </row>
    <row r="337" spans="1:10">
      <c r="A337" s="19">
        <v>45688</v>
      </c>
      <c r="B337" s="38">
        <v>5.8300999999999998</v>
      </c>
      <c r="I337" s="47">
        <v>45677</v>
      </c>
      <c r="J337" s="39">
        <v>80.150000000000006</v>
      </c>
    </row>
    <row r="338" spans="1:10">
      <c r="A338" s="19">
        <v>45691</v>
      </c>
      <c r="B338" s="38">
        <v>5.8686999999999996</v>
      </c>
      <c r="I338" s="47">
        <v>45678</v>
      </c>
      <c r="J338" s="39">
        <v>79.290000000000006</v>
      </c>
    </row>
    <row r="339" spans="1:10">
      <c r="A339" s="19">
        <v>45692</v>
      </c>
      <c r="B339" s="38">
        <v>5.7927</v>
      </c>
      <c r="I339" s="47">
        <v>45679</v>
      </c>
      <c r="J339" s="39">
        <v>79</v>
      </c>
    </row>
    <row r="340" spans="1:10">
      <c r="A340" s="19">
        <v>45693</v>
      </c>
      <c r="B340" s="38">
        <v>5.7996999999999996</v>
      </c>
      <c r="I340" s="47">
        <v>45680</v>
      </c>
      <c r="J340" s="39">
        <v>78.290000000000006</v>
      </c>
    </row>
    <row r="341" spans="1:10">
      <c r="A341" s="19">
        <v>45694</v>
      </c>
      <c r="B341" s="38">
        <v>5.7855999999999996</v>
      </c>
      <c r="I341" s="47">
        <v>45681</v>
      </c>
      <c r="J341" s="39">
        <v>78.5</v>
      </c>
    </row>
    <row r="342" spans="1:10">
      <c r="A342" s="19">
        <v>45695</v>
      </c>
      <c r="B342" s="38">
        <v>5.7557</v>
      </c>
      <c r="I342" s="47">
        <v>45684</v>
      </c>
      <c r="J342" s="39">
        <v>77.08</v>
      </c>
    </row>
    <row r="343" spans="1:10">
      <c r="A343" s="19">
        <v>45698</v>
      </c>
      <c r="B343" s="38">
        <v>5.7808000000000002</v>
      </c>
      <c r="I343" s="47">
        <v>45685</v>
      </c>
      <c r="J343" s="39">
        <v>77.489999999999995</v>
      </c>
    </row>
    <row r="344" spans="1:10">
      <c r="A344" s="19">
        <v>45699</v>
      </c>
      <c r="B344" s="38">
        <v>5.7788000000000004</v>
      </c>
      <c r="I344" s="47">
        <v>45686</v>
      </c>
      <c r="J344" s="39">
        <v>76.58</v>
      </c>
    </row>
    <row r="345" spans="1:10">
      <c r="A345" s="19">
        <v>45700</v>
      </c>
      <c r="B345" s="38">
        <v>5.7710999999999997</v>
      </c>
      <c r="I345" s="47">
        <v>45687</v>
      </c>
      <c r="J345" s="39">
        <v>76.87</v>
      </c>
    </row>
    <row r="346" spans="1:10">
      <c r="A346" s="19">
        <v>45701</v>
      </c>
      <c r="B346" s="38">
        <v>5.7788000000000004</v>
      </c>
      <c r="I346" s="47">
        <v>45688</v>
      </c>
      <c r="J346" s="39">
        <v>76.760000000000005</v>
      </c>
    </row>
    <row r="347" spans="1:10">
      <c r="A347" s="19">
        <v>45702</v>
      </c>
      <c r="B347" s="38">
        <v>5.7282999999999999</v>
      </c>
      <c r="I347" s="47">
        <v>45691</v>
      </c>
      <c r="J347" s="39">
        <v>75.959999999999994</v>
      </c>
    </row>
    <row r="348" spans="1:10">
      <c r="A348" s="19">
        <v>45705</v>
      </c>
      <c r="B348" s="38">
        <v>5.7104999999999997</v>
      </c>
      <c r="I348" s="47">
        <v>45692</v>
      </c>
      <c r="J348" s="39">
        <v>76.2</v>
      </c>
    </row>
    <row r="349" spans="1:10">
      <c r="A349" s="19">
        <v>45706</v>
      </c>
      <c r="B349" s="38">
        <v>5.6978999999999997</v>
      </c>
      <c r="I349" s="47">
        <v>45693</v>
      </c>
      <c r="J349" s="39">
        <v>74.61</v>
      </c>
    </row>
    <row r="350" spans="1:10">
      <c r="A350" s="19">
        <v>45707</v>
      </c>
      <c r="B350" s="38">
        <v>5.7087000000000003</v>
      </c>
      <c r="I350" s="47">
        <v>45694</v>
      </c>
      <c r="J350" s="39">
        <v>74.290000000000006</v>
      </c>
    </row>
    <row r="351" spans="1:10">
      <c r="A351" s="19">
        <v>45708</v>
      </c>
      <c r="B351" s="38">
        <v>5.7019000000000002</v>
      </c>
      <c r="I351" s="47">
        <v>45695</v>
      </c>
      <c r="J351" s="39">
        <v>74.66</v>
      </c>
    </row>
    <row r="352" spans="1:10">
      <c r="A352" s="19">
        <v>45709</v>
      </c>
      <c r="B352" s="38">
        <v>5.7027000000000001</v>
      </c>
      <c r="I352" s="47">
        <v>45698</v>
      </c>
      <c r="J352" s="39">
        <v>75.87</v>
      </c>
    </row>
    <row r="353" spans="1:10">
      <c r="A353" s="19">
        <v>45712</v>
      </c>
      <c r="B353" s="38">
        <v>5.7257999999999996</v>
      </c>
      <c r="I353" s="47">
        <v>45699</v>
      </c>
      <c r="J353" s="39">
        <v>77</v>
      </c>
    </row>
    <row r="354" spans="1:10">
      <c r="A354" s="19">
        <v>45713</v>
      </c>
      <c r="B354" s="38">
        <v>5.7778999999999998</v>
      </c>
      <c r="I354" s="47">
        <v>45700</v>
      </c>
      <c r="J354" s="39">
        <v>75.180000000000007</v>
      </c>
    </row>
    <row r="355" spans="1:10">
      <c r="A355" s="19">
        <v>45714</v>
      </c>
      <c r="B355" s="38">
        <v>5.7756999999999996</v>
      </c>
      <c r="I355" s="47">
        <v>45701</v>
      </c>
      <c r="J355" s="39">
        <v>75.02</v>
      </c>
    </row>
    <row r="356" spans="1:10">
      <c r="A356" s="19">
        <v>45715</v>
      </c>
      <c r="B356" s="38">
        <v>5.8228</v>
      </c>
      <c r="I356" s="47">
        <v>45702</v>
      </c>
      <c r="J356" s="39">
        <v>74.739999999999995</v>
      </c>
    </row>
    <row r="357" spans="1:10">
      <c r="A357" s="19">
        <v>45716</v>
      </c>
      <c r="B357" s="38">
        <v>5.8487999999999998</v>
      </c>
      <c r="I357" s="47">
        <v>45705</v>
      </c>
      <c r="J357" s="39">
        <v>75.22</v>
      </c>
    </row>
    <row r="358" spans="1:10">
      <c r="A358" s="19">
        <v>45721</v>
      </c>
      <c r="B358" s="38">
        <v>5.7914000000000003</v>
      </c>
      <c r="I358" s="47">
        <v>45706</v>
      </c>
      <c r="J358" s="39">
        <v>75.84</v>
      </c>
    </row>
    <row r="359" spans="1:10">
      <c r="A359" s="19">
        <v>45722</v>
      </c>
      <c r="B359" s="38">
        <v>5.7488999999999999</v>
      </c>
      <c r="I359" s="47">
        <v>45707</v>
      </c>
      <c r="J359" s="39">
        <v>76.040000000000006</v>
      </c>
    </row>
    <row r="360" spans="1:10">
      <c r="A360" s="19">
        <v>45723</v>
      </c>
      <c r="B360" s="38">
        <v>5.7687999999999997</v>
      </c>
      <c r="I360" s="47">
        <v>45708</v>
      </c>
      <c r="J360" s="39">
        <v>76.48</v>
      </c>
    </row>
    <row r="361" spans="1:10">
      <c r="A361" s="19">
        <v>45726</v>
      </c>
      <c r="B361" s="38">
        <v>5.7930000000000001</v>
      </c>
      <c r="I361" s="47">
        <v>45709</v>
      </c>
      <c r="J361" s="39">
        <v>74.430000000000007</v>
      </c>
    </row>
    <row r="362" spans="1:10">
      <c r="A362" s="19">
        <v>45727</v>
      </c>
      <c r="B362" s="38">
        <v>5.8346</v>
      </c>
      <c r="I362" s="47">
        <v>45712</v>
      </c>
      <c r="J362" s="39">
        <v>74.78</v>
      </c>
    </row>
    <row r="363" spans="1:10">
      <c r="A363" s="19">
        <v>45728</v>
      </c>
      <c r="B363" s="38">
        <v>5.8268000000000004</v>
      </c>
      <c r="I363" s="47">
        <v>45713</v>
      </c>
      <c r="J363" s="39">
        <v>73.02</v>
      </c>
    </row>
    <row r="364" spans="1:10">
      <c r="A364" s="19">
        <v>45729</v>
      </c>
      <c r="B364" s="38">
        <v>5.8131000000000004</v>
      </c>
      <c r="I364" s="47">
        <v>45714</v>
      </c>
      <c r="J364" s="39">
        <v>72.53</v>
      </c>
    </row>
    <row r="365" spans="1:10">
      <c r="A365" s="19">
        <v>45730</v>
      </c>
      <c r="B365" s="38">
        <v>5.7419000000000002</v>
      </c>
      <c r="I365" s="47">
        <v>45715</v>
      </c>
      <c r="J365" s="39">
        <v>74.040000000000006</v>
      </c>
    </row>
    <row r="366" spans="1:10">
      <c r="A366" s="19">
        <v>45733</v>
      </c>
      <c r="B366" s="38">
        <v>5.7081999999999997</v>
      </c>
      <c r="I366" s="47">
        <v>45716</v>
      </c>
      <c r="J366" s="39">
        <v>73.180000000000007</v>
      </c>
    </row>
    <row r="367" spans="1:10">
      <c r="A367" s="19">
        <v>45734</v>
      </c>
      <c r="B367" s="38">
        <v>5.6852</v>
      </c>
      <c r="I367" s="47">
        <v>45719</v>
      </c>
      <c r="J367" s="39">
        <v>71.62</v>
      </c>
    </row>
    <row r="368" spans="1:10">
      <c r="A368" s="19">
        <v>45735</v>
      </c>
      <c r="B368" s="38">
        <v>5.6657000000000002</v>
      </c>
      <c r="I368" s="47">
        <v>45720</v>
      </c>
      <c r="J368" s="39">
        <v>71.040000000000006</v>
      </c>
    </row>
    <row r="369" spans="1:10">
      <c r="A369" s="19">
        <v>45736</v>
      </c>
      <c r="B369" s="38">
        <v>5.6627999999999998</v>
      </c>
      <c r="I369" s="47">
        <v>45721</v>
      </c>
      <c r="J369" s="39">
        <v>69.3</v>
      </c>
    </row>
    <row r="370" spans="1:10">
      <c r="A370" s="19">
        <v>45737</v>
      </c>
      <c r="B370" s="38">
        <v>5.7241</v>
      </c>
      <c r="I370" s="47">
        <v>45722</v>
      </c>
      <c r="J370" s="39">
        <v>69.459999999999994</v>
      </c>
    </row>
    <row r="371" spans="1:10">
      <c r="A371" s="19">
        <v>45740</v>
      </c>
      <c r="B371" s="38">
        <v>5.7403000000000004</v>
      </c>
      <c r="I371" s="47">
        <v>45723</v>
      </c>
      <c r="J371" s="39">
        <v>70.36</v>
      </c>
    </row>
    <row r="372" spans="1:10">
      <c r="A372" s="19">
        <v>45741</v>
      </c>
      <c r="B372" s="38">
        <v>5.6992000000000003</v>
      </c>
      <c r="I372" s="47">
        <v>45726</v>
      </c>
      <c r="J372" s="39">
        <v>69.28</v>
      </c>
    </row>
    <row r="373" spans="1:10">
      <c r="A373" s="19">
        <v>45742</v>
      </c>
      <c r="B373" s="38">
        <v>5.7298</v>
      </c>
      <c r="I373" s="47">
        <v>45727</v>
      </c>
      <c r="J373" s="39">
        <v>69.56</v>
      </c>
    </row>
    <row r="374" spans="1:10">
      <c r="A374" s="19">
        <v>45743</v>
      </c>
      <c r="B374" s="38">
        <v>5.7473999999999998</v>
      </c>
      <c r="I374" s="47">
        <v>45728</v>
      </c>
      <c r="J374" s="39">
        <v>70.95</v>
      </c>
    </row>
    <row r="375" spans="1:10">
      <c r="A375" s="19">
        <v>45744</v>
      </c>
      <c r="B375" s="38">
        <v>5.766</v>
      </c>
      <c r="I375" s="47">
        <v>45729</v>
      </c>
      <c r="J375" s="39">
        <v>69.88</v>
      </c>
    </row>
    <row r="376" spans="1:10">
      <c r="A376" s="19">
        <v>45747</v>
      </c>
      <c r="B376" s="38">
        <v>5.7422000000000004</v>
      </c>
      <c r="I376" s="47">
        <v>45730</v>
      </c>
      <c r="J376" s="39">
        <v>70.58</v>
      </c>
    </row>
    <row r="377" spans="1:10">
      <c r="A377" s="19">
        <v>45748</v>
      </c>
      <c r="B377" s="38">
        <v>5.7050999999999998</v>
      </c>
      <c r="I377" s="47">
        <v>45733</v>
      </c>
      <c r="J377" s="39">
        <v>71.069999999999993</v>
      </c>
    </row>
    <row r="378" spans="1:10">
      <c r="A378" s="19">
        <v>45749</v>
      </c>
      <c r="B378" s="38">
        <v>5.6923000000000004</v>
      </c>
      <c r="I378" s="47">
        <v>45734</v>
      </c>
      <c r="J378" s="39">
        <v>70.56</v>
      </c>
    </row>
    <row r="379" spans="1:10">
      <c r="A379" s="19">
        <v>45750</v>
      </c>
      <c r="B379" s="38">
        <v>5.6067</v>
      </c>
      <c r="I379" s="47">
        <v>45735</v>
      </c>
      <c r="J379" s="39">
        <v>70.78</v>
      </c>
    </row>
    <row r="380" spans="1:10">
      <c r="A380" s="19">
        <v>45751</v>
      </c>
      <c r="B380" s="38">
        <v>5.7777000000000003</v>
      </c>
      <c r="I380" s="47">
        <v>45736</v>
      </c>
      <c r="J380" s="39">
        <v>72</v>
      </c>
    </row>
    <row r="381" spans="1:10">
      <c r="A381" s="19">
        <v>45754</v>
      </c>
      <c r="B381" s="38">
        <v>5.8876999999999997</v>
      </c>
      <c r="I381" s="47">
        <v>45737</v>
      </c>
      <c r="J381" s="39">
        <v>72.16</v>
      </c>
    </row>
    <row r="382" spans="1:10">
      <c r="A382" s="19">
        <v>45755</v>
      </c>
      <c r="B382" s="38">
        <v>5.9367999999999999</v>
      </c>
      <c r="I382" s="47">
        <v>45740</v>
      </c>
      <c r="J382" s="39">
        <v>73</v>
      </c>
    </row>
    <row r="383" spans="1:10">
      <c r="A383" s="19">
        <v>45756</v>
      </c>
      <c r="B383" s="38">
        <v>6.0605000000000002</v>
      </c>
      <c r="I383" s="47">
        <v>45741</v>
      </c>
      <c r="J383" s="39">
        <v>73.02</v>
      </c>
    </row>
    <row r="384" spans="1:10">
      <c r="A384" s="19">
        <v>45757</v>
      </c>
      <c r="B384" s="38">
        <v>5.9115000000000002</v>
      </c>
      <c r="I384" s="47">
        <v>45742</v>
      </c>
      <c r="J384" s="39">
        <v>73.790000000000006</v>
      </c>
    </row>
    <row r="385" spans="1:12">
      <c r="A385" s="19">
        <v>45758</v>
      </c>
      <c r="B385" s="38">
        <v>5.8737000000000004</v>
      </c>
      <c r="I385" s="47">
        <v>45743</v>
      </c>
      <c r="J385" s="39">
        <v>74.03</v>
      </c>
    </row>
    <row r="386" spans="1:12">
      <c r="A386" s="19">
        <v>45761</v>
      </c>
      <c r="B386" s="38">
        <v>5.8425000000000002</v>
      </c>
      <c r="I386" s="47">
        <v>45744</v>
      </c>
      <c r="J386" s="39">
        <v>73.63</v>
      </c>
    </row>
    <row r="387" spans="1:12">
      <c r="A387" s="19">
        <v>45762</v>
      </c>
      <c r="B387" s="38">
        <v>5.8707000000000003</v>
      </c>
      <c r="I387" s="47">
        <v>45747</v>
      </c>
      <c r="J387" s="39">
        <v>74.739999999999995</v>
      </c>
    </row>
    <row r="388" spans="1:12">
      <c r="A388" s="19">
        <v>45763</v>
      </c>
      <c r="B388" s="28">
        <v>5.8807999999999998</v>
      </c>
      <c r="I388" s="47">
        <v>45748</v>
      </c>
      <c r="J388" s="39">
        <v>74.489999999999995</v>
      </c>
      <c r="L388" s="29"/>
    </row>
    <row r="389" spans="1:12">
      <c r="A389" s="19">
        <v>45764</v>
      </c>
      <c r="B389" s="28">
        <v>5.8559000000000001</v>
      </c>
      <c r="I389" s="47">
        <v>45749</v>
      </c>
      <c r="J389" s="39">
        <v>74.95</v>
      </c>
      <c r="L389" s="29"/>
    </row>
    <row r="390" spans="1:12">
      <c r="A390" s="19">
        <v>45769</v>
      </c>
      <c r="B390" s="28">
        <v>5.7496</v>
      </c>
      <c r="I390" s="47">
        <v>45750</v>
      </c>
      <c r="J390" s="39">
        <v>70.14</v>
      </c>
      <c r="L390" s="29"/>
    </row>
    <row r="391" spans="1:12">
      <c r="A391" s="19">
        <v>45770</v>
      </c>
      <c r="B391" s="38">
        <v>5.6879999999999997</v>
      </c>
      <c r="I391" s="47">
        <v>45751</v>
      </c>
      <c r="J391" s="39">
        <v>65.58</v>
      </c>
      <c r="L391" s="29"/>
    </row>
    <row r="392" spans="1:12">
      <c r="A392" s="19">
        <v>45771</v>
      </c>
      <c r="B392" s="38">
        <v>5.6738</v>
      </c>
      <c r="I392" s="47">
        <v>45754</v>
      </c>
      <c r="J392" s="39">
        <v>64.209999999999994</v>
      </c>
      <c r="L392" s="29"/>
    </row>
    <row r="393" spans="1:12">
      <c r="A393" s="19">
        <v>45772</v>
      </c>
      <c r="B393" s="38">
        <v>5.6845999999999997</v>
      </c>
      <c r="I393" s="47">
        <v>45755</v>
      </c>
      <c r="J393" s="39">
        <v>62.82</v>
      </c>
      <c r="L393" s="29"/>
    </row>
    <row r="394" spans="1:12">
      <c r="A394" s="19">
        <v>45775</v>
      </c>
      <c r="B394" s="38">
        <v>5.6680999999999999</v>
      </c>
      <c r="I394" s="47">
        <v>45756</v>
      </c>
      <c r="J394" s="39">
        <v>65.48</v>
      </c>
      <c r="L394" s="29"/>
    </row>
    <row r="395" spans="1:12">
      <c r="A395" s="19">
        <v>45776</v>
      </c>
      <c r="B395" s="38">
        <v>5.6467000000000001</v>
      </c>
      <c r="I395" s="47">
        <v>45757</v>
      </c>
      <c r="J395" s="39">
        <v>63.33</v>
      </c>
      <c r="L395" s="29"/>
    </row>
    <row r="396" spans="1:12">
      <c r="A396" s="19">
        <v>45777</v>
      </c>
      <c r="B396" s="38">
        <v>5.6608000000000001</v>
      </c>
      <c r="I396" s="47">
        <v>45758</v>
      </c>
      <c r="J396" s="39">
        <v>64.760000000000005</v>
      </c>
      <c r="L396" s="29"/>
    </row>
    <row r="397" spans="1:12">
      <c r="A397" s="19">
        <v>45779</v>
      </c>
      <c r="B397" s="38">
        <v>5.6394000000000002</v>
      </c>
      <c r="I397" s="47">
        <v>45761</v>
      </c>
      <c r="J397" s="39">
        <v>64.88</v>
      </c>
      <c r="L397" s="29"/>
    </row>
    <row r="398" spans="1:12">
      <c r="A398" s="19">
        <v>45782</v>
      </c>
      <c r="B398" s="38">
        <v>5.6520000000000001</v>
      </c>
      <c r="I398" s="47">
        <v>45762</v>
      </c>
      <c r="J398" s="39">
        <v>64.67</v>
      </c>
      <c r="L398" s="29"/>
    </row>
    <row r="399" spans="1:12">
      <c r="A399" s="19">
        <v>45783</v>
      </c>
      <c r="B399" s="38">
        <v>5.7210000000000001</v>
      </c>
      <c r="I399" s="47">
        <v>45763</v>
      </c>
      <c r="J399" s="39">
        <v>65.849999999999994</v>
      </c>
      <c r="L399" s="29"/>
    </row>
    <row r="400" spans="1:12">
      <c r="A400" s="19">
        <v>45784</v>
      </c>
      <c r="B400" s="38">
        <v>5.7374999999999998</v>
      </c>
      <c r="I400" s="47">
        <v>45764</v>
      </c>
      <c r="J400" s="39">
        <v>67.959999999999994</v>
      </c>
      <c r="L400" s="29"/>
    </row>
    <row r="401" spans="1:12">
      <c r="A401" s="19">
        <v>45785</v>
      </c>
      <c r="B401" s="38">
        <v>5.6859999999999999</v>
      </c>
      <c r="I401" s="47">
        <v>45768</v>
      </c>
      <c r="J401" s="39">
        <v>66.260000000000005</v>
      </c>
      <c r="L401" s="29"/>
    </row>
    <row r="402" spans="1:12">
      <c r="A402" s="19">
        <v>45786</v>
      </c>
      <c r="B402" s="38">
        <v>5.6510999999999996</v>
      </c>
      <c r="I402" s="47">
        <v>45769</v>
      </c>
      <c r="J402" s="39">
        <v>67.44</v>
      </c>
      <c r="L402" s="29"/>
    </row>
    <row r="403" spans="1:12">
      <c r="A403" s="19">
        <v>45789</v>
      </c>
      <c r="B403" s="38">
        <v>5.6821999999999999</v>
      </c>
      <c r="I403" s="47">
        <v>45770</v>
      </c>
      <c r="J403" s="39">
        <v>66.12</v>
      </c>
      <c r="L403" s="29"/>
    </row>
    <row r="404" spans="1:12">
      <c r="A404" s="19">
        <v>45790</v>
      </c>
      <c r="B404" s="38">
        <v>5.6261999999999999</v>
      </c>
      <c r="I404" s="47">
        <v>45771</v>
      </c>
      <c r="J404" s="39">
        <v>66.55</v>
      </c>
      <c r="L404" s="29"/>
    </row>
    <row r="405" spans="1:12">
      <c r="A405" s="19">
        <v>45791</v>
      </c>
      <c r="B405" s="38">
        <v>5.61</v>
      </c>
      <c r="I405" s="47">
        <v>45772</v>
      </c>
      <c r="J405" s="39">
        <v>66.87</v>
      </c>
      <c r="L405" s="29"/>
    </row>
    <row r="406" spans="1:12">
      <c r="A406" s="19">
        <v>45792</v>
      </c>
      <c r="B406" s="38">
        <v>5.6327999999999996</v>
      </c>
      <c r="I406" s="47">
        <v>45775</v>
      </c>
      <c r="J406" s="39">
        <v>65.86</v>
      </c>
      <c r="L406" s="29"/>
    </row>
    <row r="407" spans="1:12">
      <c r="A407" s="19">
        <v>45793</v>
      </c>
      <c r="B407" s="38">
        <v>5.6924999999999999</v>
      </c>
      <c r="I407" s="47">
        <v>45776</v>
      </c>
      <c r="J407" s="39">
        <v>64.25</v>
      </c>
      <c r="L407" s="29"/>
    </row>
    <row r="408" spans="1:12">
      <c r="A408" s="19">
        <v>45796</v>
      </c>
      <c r="B408" s="38">
        <v>5.6590999999999996</v>
      </c>
      <c r="I408" s="47">
        <v>45777</v>
      </c>
      <c r="J408" s="39">
        <v>63.12</v>
      </c>
      <c r="L408" s="29"/>
    </row>
    <row r="409" spans="1:12">
      <c r="A409" s="19">
        <v>45797</v>
      </c>
      <c r="B409" s="38">
        <v>5.6619999999999999</v>
      </c>
      <c r="I409" s="47">
        <v>45778</v>
      </c>
      <c r="J409" s="39">
        <v>62.13</v>
      </c>
      <c r="L409" s="29"/>
    </row>
    <row r="410" spans="1:12">
      <c r="A410" s="19">
        <v>45798</v>
      </c>
      <c r="B410" s="38">
        <v>5.6570999999999998</v>
      </c>
      <c r="I410" s="47">
        <v>45779</v>
      </c>
      <c r="J410" s="39">
        <v>61.29</v>
      </c>
      <c r="L410" s="29"/>
    </row>
    <row r="411" spans="1:12">
      <c r="A411" s="19">
        <v>45799</v>
      </c>
      <c r="B411" s="38">
        <v>5.6390000000000002</v>
      </c>
      <c r="I411" s="47">
        <v>45782</v>
      </c>
      <c r="J411" s="39">
        <v>60.23</v>
      </c>
      <c r="L411" s="29"/>
    </row>
    <row r="412" spans="1:12">
      <c r="A412" s="19">
        <v>45800</v>
      </c>
      <c r="B412" s="38">
        <v>5.6932</v>
      </c>
      <c r="I412" s="47">
        <v>45783</v>
      </c>
      <c r="J412" s="39">
        <v>62.15</v>
      </c>
      <c r="L412" s="29"/>
    </row>
    <row r="413" spans="1:12">
      <c r="A413" s="19">
        <v>45803</v>
      </c>
      <c r="B413" s="38">
        <v>5.6619000000000002</v>
      </c>
      <c r="I413" s="47">
        <v>45784</v>
      </c>
      <c r="J413" s="39">
        <v>61.12</v>
      </c>
      <c r="L413" s="29"/>
    </row>
    <row r="414" spans="1:12">
      <c r="A414" s="19">
        <v>45804</v>
      </c>
      <c r="B414" s="38">
        <v>5.6539000000000001</v>
      </c>
      <c r="I414" s="47">
        <v>45785</v>
      </c>
      <c r="J414" s="39">
        <v>62.84</v>
      </c>
      <c r="L414" s="29"/>
    </row>
    <row r="415" spans="1:12">
      <c r="A415" s="19">
        <v>45805</v>
      </c>
      <c r="B415" s="38">
        <v>5.6936</v>
      </c>
      <c r="I415" s="47">
        <v>45786</v>
      </c>
      <c r="J415" s="39">
        <v>63.91</v>
      </c>
      <c r="L415" s="29"/>
    </row>
    <row r="416" spans="1:12">
      <c r="A416" s="19">
        <v>45806</v>
      </c>
      <c r="B416" s="38">
        <v>5.6558999999999999</v>
      </c>
      <c r="I416" s="47">
        <v>45789</v>
      </c>
      <c r="J416" s="39">
        <v>64.959999999999994</v>
      </c>
      <c r="L416" s="29"/>
    </row>
    <row r="417" spans="1:12">
      <c r="A417" s="19">
        <v>45807</v>
      </c>
      <c r="B417" s="28">
        <v>5.7087000000000003</v>
      </c>
      <c r="I417" s="47">
        <v>45790</v>
      </c>
      <c r="J417" s="39">
        <v>66.63</v>
      </c>
      <c r="L417" s="29"/>
    </row>
    <row r="418" spans="1:12">
      <c r="A418" s="19">
        <v>45810</v>
      </c>
      <c r="B418" s="28">
        <v>5.6936999999999998</v>
      </c>
      <c r="I418" s="47">
        <v>45791</v>
      </c>
      <c r="J418" s="39">
        <v>66.09</v>
      </c>
      <c r="L418" s="29"/>
    </row>
    <row r="419" spans="1:12">
      <c r="A419" s="19">
        <v>45811</v>
      </c>
      <c r="B419" s="28">
        <v>5.6694000000000004</v>
      </c>
      <c r="I419" s="47">
        <v>45792</v>
      </c>
      <c r="J419" s="39">
        <v>64.53</v>
      </c>
      <c r="L419" s="29"/>
    </row>
    <row r="420" spans="1:12">
      <c r="A420" s="19">
        <v>45812</v>
      </c>
      <c r="B420" s="28">
        <v>5.6332000000000004</v>
      </c>
      <c r="I420" s="47">
        <v>45793</v>
      </c>
      <c r="J420" s="39">
        <v>65.41</v>
      </c>
      <c r="L420" s="29"/>
    </row>
    <row r="421" spans="1:12">
      <c r="A421" s="19">
        <v>45813</v>
      </c>
      <c r="B421" s="28">
        <v>5.5968999999999998</v>
      </c>
      <c r="I421" s="47">
        <v>45796</v>
      </c>
      <c r="J421" s="39">
        <v>65.540000000000006</v>
      </c>
      <c r="L421" s="29"/>
    </row>
    <row r="422" spans="1:12">
      <c r="A422" s="19">
        <v>45814</v>
      </c>
      <c r="B422" s="28">
        <v>5.5946999999999996</v>
      </c>
      <c r="I422" s="47">
        <v>45797</v>
      </c>
      <c r="J422" s="39">
        <v>65.38</v>
      </c>
      <c r="L422" s="29"/>
    </row>
    <row r="423" spans="1:12">
      <c r="A423" s="19">
        <v>45817</v>
      </c>
      <c r="B423" s="28">
        <v>5.5759999999999996</v>
      </c>
      <c r="I423" s="47">
        <v>45798</v>
      </c>
      <c r="J423" s="39">
        <v>64.91</v>
      </c>
      <c r="L423" s="29"/>
    </row>
    <row r="424" spans="1:12">
      <c r="A424" s="19">
        <v>45818</v>
      </c>
      <c r="B424" s="28">
        <v>5.5556999999999999</v>
      </c>
      <c r="I424" s="47">
        <v>45799</v>
      </c>
      <c r="J424" s="39">
        <v>64.44</v>
      </c>
      <c r="L424" s="29"/>
    </row>
    <row r="425" spans="1:12">
      <c r="A425" s="19">
        <v>45819</v>
      </c>
      <c r="B425" s="28">
        <v>5.5389999999999997</v>
      </c>
      <c r="I425" s="47">
        <v>45800</v>
      </c>
      <c r="J425" s="39">
        <v>64.78</v>
      </c>
      <c r="L425" s="29"/>
    </row>
    <row r="426" spans="1:12">
      <c r="A426" s="19">
        <v>45820</v>
      </c>
      <c r="B426" s="28">
        <v>5.5388000000000002</v>
      </c>
      <c r="I426" s="47">
        <v>45803</v>
      </c>
      <c r="J426" s="39">
        <v>64.739999999999995</v>
      </c>
      <c r="L426" s="29"/>
    </row>
    <row r="427" spans="1:12">
      <c r="A427" s="19">
        <v>45821</v>
      </c>
      <c r="B427" s="28">
        <v>5.5651999999999999</v>
      </c>
      <c r="I427" s="47">
        <v>45804</v>
      </c>
      <c r="J427" s="39">
        <v>64.09</v>
      </c>
      <c r="L427" s="29"/>
    </row>
    <row r="428" spans="1:12">
      <c r="A428" s="19">
        <v>45824</v>
      </c>
      <c r="B428" s="28">
        <v>5.5122999999999998</v>
      </c>
      <c r="I428" s="47">
        <v>45805</v>
      </c>
      <c r="J428" s="39">
        <v>64.900000000000006</v>
      </c>
      <c r="L428" s="29"/>
    </row>
    <row r="429" spans="1:12">
      <c r="A429" s="19">
        <v>45825</v>
      </c>
      <c r="B429" s="28">
        <v>5.4772999999999996</v>
      </c>
      <c r="I429" s="47">
        <v>45806</v>
      </c>
      <c r="J429" s="39">
        <v>64.150000000000006</v>
      </c>
      <c r="L429" s="29"/>
    </row>
    <row r="430" spans="1:12">
      <c r="A430" s="19">
        <v>45826</v>
      </c>
      <c r="B430" s="28">
        <v>5.4878999999999998</v>
      </c>
      <c r="I430" s="47">
        <v>45807</v>
      </c>
      <c r="J430" s="39">
        <v>63.9</v>
      </c>
      <c r="L430" s="29"/>
    </row>
    <row r="431" spans="1:12">
      <c r="A431" s="19">
        <v>45828</v>
      </c>
      <c r="B431" s="28">
        <v>5.4957000000000003</v>
      </c>
      <c r="I431" s="47">
        <v>45810</v>
      </c>
      <c r="J431" s="39">
        <v>64.63</v>
      </c>
      <c r="L431" s="29"/>
    </row>
    <row r="432" spans="1:12">
      <c r="A432" s="19">
        <v>45831</v>
      </c>
      <c r="B432" s="28">
        <v>5.5213000000000001</v>
      </c>
      <c r="I432" s="47">
        <v>45811</v>
      </c>
      <c r="J432" s="39">
        <v>65.63</v>
      </c>
      <c r="L432" s="29"/>
    </row>
    <row r="433" spans="1:12">
      <c r="A433" s="19">
        <v>45832</v>
      </c>
      <c r="B433" s="28">
        <v>5.4938000000000002</v>
      </c>
      <c r="I433" s="47">
        <v>45812</v>
      </c>
      <c r="J433" s="39">
        <v>64.86</v>
      </c>
      <c r="L433" s="29"/>
    </row>
    <row r="434" spans="1:12">
      <c r="A434" s="19">
        <v>45833</v>
      </c>
      <c r="B434" s="28">
        <v>5.5427</v>
      </c>
      <c r="I434" s="47">
        <v>45813</v>
      </c>
      <c r="J434" s="39">
        <v>65.34</v>
      </c>
      <c r="L434" s="29"/>
    </row>
    <row r="435" spans="1:12">
      <c r="A435" s="19">
        <v>45834</v>
      </c>
      <c r="B435" s="28">
        <v>5.5145</v>
      </c>
      <c r="I435" s="47">
        <v>45814</v>
      </c>
      <c r="J435" s="39">
        <v>66.47</v>
      </c>
      <c r="L435" s="29"/>
    </row>
    <row r="436" spans="1:12">
      <c r="A436" s="19">
        <v>45835</v>
      </c>
      <c r="B436" s="28">
        <v>5.4759000000000002</v>
      </c>
      <c r="I436" s="47">
        <v>45817</v>
      </c>
      <c r="J436" s="39">
        <v>67.040000000000006</v>
      </c>
      <c r="L436" s="29"/>
    </row>
    <row r="437" spans="1:12">
      <c r="A437" s="19">
        <v>45838</v>
      </c>
      <c r="B437" s="28">
        <v>5.4570999999999996</v>
      </c>
      <c r="I437" s="47">
        <v>45818</v>
      </c>
      <c r="J437" s="39">
        <v>66.87</v>
      </c>
      <c r="L437" s="29"/>
    </row>
    <row r="438" spans="1:12">
      <c r="A438" s="19">
        <v>45839</v>
      </c>
      <c r="B438" s="28">
        <v>5.4511000000000003</v>
      </c>
      <c r="I438" s="47">
        <v>45819</v>
      </c>
      <c r="J438" s="39">
        <v>69.77</v>
      </c>
      <c r="L438" s="29"/>
    </row>
    <row r="439" spans="1:12">
      <c r="A439" s="19">
        <v>45840</v>
      </c>
      <c r="B439" s="28">
        <v>5.4512</v>
      </c>
      <c r="I439" s="47">
        <v>45820</v>
      </c>
      <c r="J439" s="39">
        <v>69.36</v>
      </c>
      <c r="L439" s="29"/>
    </row>
    <row r="440" spans="1:12">
      <c r="A440" s="19">
        <v>45841</v>
      </c>
      <c r="B440" s="28">
        <v>5.4207999999999998</v>
      </c>
      <c r="I440" s="47">
        <v>45821</v>
      </c>
      <c r="J440" s="39">
        <v>74.23</v>
      </c>
      <c r="L440" s="29"/>
    </row>
    <row r="441" spans="1:12">
      <c r="A441" s="19">
        <v>45842</v>
      </c>
      <c r="B441" s="38">
        <v>5.4089999999999998</v>
      </c>
      <c r="I441" s="47">
        <v>45824</v>
      </c>
      <c r="J441" s="39">
        <v>73.23</v>
      </c>
      <c r="L441" s="29"/>
    </row>
    <row r="442" spans="1:12">
      <c r="A442" s="19">
        <v>45845</v>
      </c>
      <c r="B442" s="28">
        <v>5.4551999999999996</v>
      </c>
      <c r="I442" s="47">
        <v>45825</v>
      </c>
      <c r="J442" s="39">
        <v>76.45</v>
      </c>
      <c r="L442" s="29"/>
    </row>
    <row r="443" spans="1:12">
      <c r="A443" s="19">
        <v>45846</v>
      </c>
      <c r="B443" s="28">
        <v>5.4570999999999996</v>
      </c>
      <c r="I443" s="47">
        <v>45826</v>
      </c>
      <c r="J443" s="39">
        <v>76.7</v>
      </c>
      <c r="L443" s="29"/>
    </row>
    <row r="444" spans="1:12">
      <c r="A444" s="19">
        <v>45847</v>
      </c>
      <c r="B444" s="28">
        <v>5.4626000000000001</v>
      </c>
      <c r="I444" s="47">
        <v>45827</v>
      </c>
      <c r="J444" s="39">
        <v>78.850000000000009</v>
      </c>
      <c r="L444" s="29"/>
    </row>
    <row r="445" spans="1:12">
      <c r="A445" s="19">
        <v>45848</v>
      </c>
      <c r="B445" s="28">
        <v>5.5433000000000003</v>
      </c>
      <c r="I445" s="47">
        <v>45828</v>
      </c>
      <c r="J445" s="39">
        <v>77.010000000000005</v>
      </c>
      <c r="L445" s="29"/>
    </row>
    <row r="446" spans="1:12">
      <c r="A446" s="19">
        <v>45849</v>
      </c>
      <c r="B446" s="28">
        <v>5.5721999999999996</v>
      </c>
      <c r="I446" s="47">
        <v>45831</v>
      </c>
      <c r="J446" s="39">
        <v>71.48</v>
      </c>
      <c r="L446" s="29"/>
    </row>
    <row r="447" spans="1:12">
      <c r="A447" s="19">
        <v>45852</v>
      </c>
      <c r="B447" s="28">
        <v>5.5594999999999999</v>
      </c>
      <c r="I447" s="47">
        <v>45832</v>
      </c>
      <c r="J447" s="39">
        <v>67.14</v>
      </c>
      <c r="L447" s="29"/>
    </row>
    <row r="448" spans="1:12">
      <c r="A448" s="19">
        <v>45853</v>
      </c>
      <c r="B448" s="28">
        <v>5.5575999999999999</v>
      </c>
      <c r="I448" s="47">
        <v>45833</v>
      </c>
      <c r="J448" s="39">
        <v>67.680000000000007</v>
      </c>
      <c r="L448" s="29"/>
    </row>
    <row r="449" spans="1:12">
      <c r="A449" s="19">
        <v>45854</v>
      </c>
      <c r="B449" s="28">
        <v>5.5721999999999996</v>
      </c>
      <c r="I449" s="47">
        <v>45834</v>
      </c>
      <c r="J449" s="39">
        <v>67.73</v>
      </c>
      <c r="L449" s="29"/>
    </row>
    <row r="450" spans="1:12">
      <c r="A450" s="19">
        <v>45855</v>
      </c>
      <c r="B450" s="28">
        <v>5.5736999999999997</v>
      </c>
      <c r="I450" s="47">
        <v>45835</v>
      </c>
      <c r="J450" s="39">
        <v>67.77</v>
      </c>
      <c r="L450" s="29"/>
    </row>
    <row r="451" spans="1:12">
      <c r="A451" s="19">
        <v>45856</v>
      </c>
      <c r="B451" s="28">
        <v>5.5465999999999998</v>
      </c>
      <c r="I451" s="47">
        <v>45838</v>
      </c>
      <c r="J451" s="39">
        <v>67.61</v>
      </c>
      <c r="L451" s="29"/>
    </row>
    <row r="452" spans="1:12">
      <c r="A452" s="19">
        <v>45859</v>
      </c>
      <c r="B452" s="28">
        <v>5.5625</v>
      </c>
      <c r="I452" s="47">
        <v>45839</v>
      </c>
      <c r="J452" s="39">
        <v>67.11</v>
      </c>
      <c r="L452" s="47"/>
    </row>
    <row r="453" spans="1:12">
      <c r="A453" s="19">
        <v>45860</v>
      </c>
      <c r="B453" s="28">
        <v>5.5709</v>
      </c>
      <c r="I453" s="47">
        <v>45840</v>
      </c>
      <c r="J453" s="39">
        <v>69.11</v>
      </c>
      <c r="L453" s="47"/>
    </row>
    <row r="454" spans="1:12">
      <c r="A454" s="19">
        <v>45861</v>
      </c>
      <c r="B454" s="28">
        <v>5.5537000000000001</v>
      </c>
      <c r="I454" s="47">
        <v>45841</v>
      </c>
      <c r="J454" s="39">
        <v>68.8</v>
      </c>
      <c r="L454" s="47"/>
    </row>
    <row r="455" spans="1:12">
      <c r="A455" s="19">
        <v>45862</v>
      </c>
      <c r="B455" s="28">
        <v>5.5239000000000003</v>
      </c>
      <c r="I455" s="47">
        <v>45842</v>
      </c>
      <c r="J455" s="39">
        <v>68.3</v>
      </c>
      <c r="L455" s="47"/>
    </row>
    <row r="456" spans="1:12">
      <c r="A456" s="19">
        <v>45863</v>
      </c>
      <c r="B456" s="28">
        <v>5.5426000000000002</v>
      </c>
      <c r="I456" s="47">
        <v>45845</v>
      </c>
      <c r="J456" s="39">
        <v>69.58</v>
      </c>
      <c r="L456" s="47"/>
    </row>
    <row r="457" spans="1:12">
      <c r="A457" s="19">
        <v>45866</v>
      </c>
      <c r="B457" s="28">
        <v>5.5876999999999999</v>
      </c>
      <c r="I457" s="47">
        <v>45846</v>
      </c>
      <c r="J457" s="39">
        <v>70.150000000000006</v>
      </c>
      <c r="L457" s="47"/>
    </row>
    <row r="458" spans="1:12">
      <c r="A458" s="19">
        <v>45867</v>
      </c>
      <c r="B458" s="28">
        <v>5.5763999999999996</v>
      </c>
      <c r="I458" s="47">
        <v>45847</v>
      </c>
      <c r="J458" s="39">
        <v>70.19</v>
      </c>
      <c r="L458" s="47"/>
    </row>
    <row r="459" spans="1:12">
      <c r="A459" s="19">
        <v>45868</v>
      </c>
      <c r="B459" s="28">
        <v>5.6033999999999997</v>
      </c>
      <c r="I459" s="47">
        <v>45848</v>
      </c>
      <c r="J459" s="39">
        <v>68.64</v>
      </c>
      <c r="L459" s="47"/>
    </row>
    <row r="460" spans="1:12">
      <c r="A460" s="19">
        <v>45869</v>
      </c>
      <c r="B460" s="28">
        <v>5.6021000000000001</v>
      </c>
      <c r="I460" s="47">
        <v>45849</v>
      </c>
      <c r="J460" s="39">
        <v>70.36</v>
      </c>
      <c r="L460" s="47"/>
    </row>
    <row r="461" spans="1:12">
      <c r="A461" s="19">
        <v>45870</v>
      </c>
      <c r="B461" s="28">
        <v>5.5435999999999996</v>
      </c>
      <c r="I461" s="47">
        <v>45852</v>
      </c>
      <c r="J461" s="39">
        <v>69.209999999999994</v>
      </c>
      <c r="L461" s="47"/>
    </row>
    <row r="462" spans="1:12">
      <c r="A462" s="19">
        <v>45873</v>
      </c>
      <c r="B462" s="28">
        <v>5.5113000000000003</v>
      </c>
      <c r="I462" s="47">
        <v>45853</v>
      </c>
      <c r="J462" s="39">
        <v>68.709999999999994</v>
      </c>
      <c r="L462" s="47"/>
    </row>
    <row r="463" spans="1:12">
      <c r="A463" s="19">
        <v>45874</v>
      </c>
      <c r="B463" s="28">
        <v>5.5118999999999998</v>
      </c>
      <c r="I463" s="47">
        <v>45854</v>
      </c>
      <c r="J463" s="39">
        <v>68.52</v>
      </c>
      <c r="L463" s="47"/>
    </row>
    <row r="464" spans="1:12">
      <c r="A464" s="19">
        <v>45875</v>
      </c>
      <c r="B464" s="28">
        <v>5.4802</v>
      </c>
      <c r="I464" s="47">
        <v>45855</v>
      </c>
      <c r="J464" s="39">
        <v>69.52</v>
      </c>
      <c r="L464" s="47"/>
    </row>
    <row r="465" spans="1:12">
      <c r="A465" s="19">
        <v>45876</v>
      </c>
      <c r="B465" s="28">
        <v>5.4638</v>
      </c>
      <c r="I465" s="47">
        <v>45856</v>
      </c>
      <c r="J465" s="39">
        <v>69.28</v>
      </c>
      <c r="L465" s="47"/>
    </row>
    <row r="466" spans="1:12">
      <c r="A466" s="19">
        <v>45877</v>
      </c>
      <c r="B466" s="28">
        <v>5.4253999999999998</v>
      </c>
      <c r="I466" s="47">
        <v>45859</v>
      </c>
      <c r="J466" s="39">
        <v>69.209999999999994</v>
      </c>
      <c r="L466" s="47"/>
    </row>
    <row r="467" spans="1:12">
      <c r="A467" s="19">
        <v>45880</v>
      </c>
      <c r="B467" s="28">
        <v>5.4473000000000003</v>
      </c>
      <c r="I467" s="47">
        <v>45860</v>
      </c>
      <c r="J467" s="39">
        <v>68.59</v>
      </c>
      <c r="L467" s="47"/>
    </row>
    <row r="468" spans="1:12">
      <c r="A468" s="19">
        <v>45881</v>
      </c>
      <c r="B468" s="28">
        <v>5.4051999999999998</v>
      </c>
      <c r="I468" s="47">
        <v>45861</v>
      </c>
      <c r="J468" s="39">
        <v>68.510000000000005</v>
      </c>
      <c r="L468" s="47"/>
    </row>
    <row r="469" spans="1:12">
      <c r="A469" s="19">
        <v>45882</v>
      </c>
      <c r="B469" s="28">
        <v>5.3928000000000003</v>
      </c>
      <c r="I469" s="47">
        <v>45862</v>
      </c>
      <c r="J469" s="39">
        <v>69.180000000000007</v>
      </c>
      <c r="L469" s="47"/>
    </row>
    <row r="470" spans="1:12">
      <c r="A470" s="19">
        <v>45883</v>
      </c>
      <c r="B470" s="28">
        <v>5.4095000000000004</v>
      </c>
      <c r="I470" s="47">
        <v>45863</v>
      </c>
      <c r="J470" s="39">
        <v>68.44</v>
      </c>
      <c r="L470" s="47"/>
    </row>
    <row r="471" spans="1:12">
      <c r="A471" s="19">
        <v>45884</v>
      </c>
      <c r="B471" s="28">
        <v>5.3928000000000003</v>
      </c>
      <c r="I471" s="47">
        <v>45866</v>
      </c>
      <c r="J471" s="39">
        <v>70.040000000000006</v>
      </c>
      <c r="L471" s="47"/>
    </row>
    <row r="472" spans="1:12">
      <c r="A472" s="19">
        <v>45887</v>
      </c>
      <c r="B472" s="28">
        <v>5.4154999999999998</v>
      </c>
      <c r="I472" s="47">
        <v>45867</v>
      </c>
      <c r="J472" s="39">
        <v>72.510000000000005</v>
      </c>
      <c r="L472" s="47"/>
    </row>
    <row r="473" spans="1:12">
      <c r="A473" s="19">
        <v>45888</v>
      </c>
      <c r="B473" s="38">
        <v>5.4715999999999996</v>
      </c>
      <c r="I473" s="47">
        <v>45868</v>
      </c>
      <c r="J473" s="39">
        <v>73.239999999999995</v>
      </c>
      <c r="L473" s="47"/>
    </row>
    <row r="474" spans="1:12">
      <c r="A474" s="19">
        <v>45889</v>
      </c>
      <c r="B474" s="38">
        <v>5.4725999999999999</v>
      </c>
      <c r="I474" s="47">
        <v>45869</v>
      </c>
      <c r="J474" s="39">
        <v>72.53</v>
      </c>
      <c r="L474" s="47"/>
    </row>
    <row r="475" spans="1:12">
      <c r="A475" s="19">
        <v>45890</v>
      </c>
      <c r="B475" s="38">
        <v>5.4828000000000001</v>
      </c>
      <c r="I475" s="47">
        <v>45870</v>
      </c>
      <c r="J475" s="39">
        <v>69.67</v>
      </c>
      <c r="L475" s="47"/>
    </row>
    <row r="476" spans="1:12">
      <c r="A476" s="19">
        <v>45891</v>
      </c>
      <c r="B476" s="38">
        <v>5.4391999999999996</v>
      </c>
      <c r="I476" s="47">
        <v>45873</v>
      </c>
      <c r="J476" s="39">
        <v>68.760000000000005</v>
      </c>
      <c r="L476" s="47"/>
    </row>
    <row r="477" spans="1:12">
      <c r="A477" s="19">
        <v>45894</v>
      </c>
      <c r="B477" s="38">
        <v>5.4173999999999998</v>
      </c>
      <c r="I477" s="99">
        <v>45874</v>
      </c>
      <c r="J477" s="100">
        <v>67.64</v>
      </c>
      <c r="L477" s="47"/>
    </row>
    <row r="478" spans="1:12">
      <c r="A478" s="19">
        <v>45895</v>
      </c>
      <c r="B478" s="38">
        <v>5.4218000000000002</v>
      </c>
      <c r="I478" s="99">
        <v>45875</v>
      </c>
      <c r="J478" s="100">
        <v>66.89</v>
      </c>
      <c r="L478" s="47"/>
    </row>
    <row r="479" spans="1:12">
      <c r="A479" s="19">
        <v>45896</v>
      </c>
      <c r="B479" s="38">
        <v>5.4428000000000001</v>
      </c>
      <c r="I479" s="99">
        <v>45876</v>
      </c>
      <c r="J479" s="100">
        <v>66.430000000000007</v>
      </c>
      <c r="L479" s="47"/>
    </row>
    <row r="480" spans="1:12">
      <c r="A480" s="19">
        <v>45897</v>
      </c>
      <c r="B480" s="38">
        <v>5.4115000000000002</v>
      </c>
      <c r="I480" s="99">
        <v>45877</v>
      </c>
      <c r="J480" s="100">
        <v>66.59</v>
      </c>
      <c r="L480" s="47"/>
    </row>
    <row r="481" spans="1:12">
      <c r="A481" s="19">
        <v>45898</v>
      </c>
      <c r="B481" s="38">
        <v>5.4264000000000001</v>
      </c>
      <c r="I481" s="99">
        <v>45880</v>
      </c>
      <c r="J481" s="100">
        <v>66.63</v>
      </c>
      <c r="L481" s="47"/>
    </row>
    <row r="482" spans="1:12">
      <c r="A482" s="19">
        <v>45901</v>
      </c>
      <c r="B482" s="38">
        <v>5.4378000000000002</v>
      </c>
      <c r="I482" s="99">
        <v>45881</v>
      </c>
      <c r="J482" s="100">
        <v>66.12</v>
      </c>
      <c r="L482" s="47"/>
    </row>
    <row r="483" spans="1:12">
      <c r="A483" s="19">
        <v>45902</v>
      </c>
      <c r="B483" s="38">
        <v>5.468</v>
      </c>
      <c r="I483" s="99">
        <v>45882</v>
      </c>
      <c r="J483" s="100">
        <v>65.63</v>
      </c>
      <c r="L483" s="47"/>
    </row>
    <row r="484" spans="1:12">
      <c r="A484" s="19">
        <v>45903</v>
      </c>
      <c r="B484" s="38">
        <v>5.4485000000000001</v>
      </c>
      <c r="I484" s="99">
        <v>45883</v>
      </c>
      <c r="J484" s="100">
        <v>66.84</v>
      </c>
      <c r="L484" s="47"/>
    </row>
    <row r="485" spans="1:12">
      <c r="A485" s="19">
        <v>45904</v>
      </c>
      <c r="B485" s="38">
        <v>5.4587000000000003</v>
      </c>
      <c r="I485" s="99">
        <v>45884</v>
      </c>
      <c r="J485" s="100">
        <v>65.849999999999994</v>
      </c>
      <c r="L485" s="47"/>
    </row>
    <row r="486" spans="1:12">
      <c r="A486" s="19">
        <v>45905</v>
      </c>
      <c r="B486" s="38">
        <v>5.3967999999999998</v>
      </c>
      <c r="I486" s="99">
        <v>45887</v>
      </c>
      <c r="J486" s="100">
        <v>66.599999999999994</v>
      </c>
      <c r="L486" s="47"/>
    </row>
    <row r="487" spans="1:12">
      <c r="A487" s="19">
        <v>45908</v>
      </c>
      <c r="B487" s="38">
        <v>5.4278000000000004</v>
      </c>
      <c r="I487" s="99">
        <v>45888</v>
      </c>
      <c r="J487" s="100">
        <v>65.790000000000006</v>
      </c>
      <c r="L487" s="47"/>
    </row>
    <row r="488" spans="1:12">
      <c r="A488" s="19">
        <v>45909</v>
      </c>
      <c r="B488" s="38">
        <v>5.4278000000000004</v>
      </c>
      <c r="I488" s="99">
        <v>45889</v>
      </c>
      <c r="J488" s="100">
        <v>66.84</v>
      </c>
      <c r="L488" s="47"/>
    </row>
    <row r="489" spans="1:12">
      <c r="A489" s="19">
        <v>45910</v>
      </c>
      <c r="B489" s="38">
        <v>5.4123000000000001</v>
      </c>
      <c r="I489" s="99">
        <v>45890</v>
      </c>
      <c r="J489" s="100">
        <v>67.67</v>
      </c>
      <c r="L489" s="47"/>
    </row>
    <row r="490" spans="1:12">
      <c r="A490" s="19">
        <v>45911</v>
      </c>
      <c r="B490" s="38">
        <v>5.3857999999999997</v>
      </c>
      <c r="I490" s="99">
        <v>45891</v>
      </c>
      <c r="J490" s="100">
        <v>67.73</v>
      </c>
      <c r="L490" s="47"/>
    </row>
    <row r="491" spans="1:12">
      <c r="A491" s="19">
        <v>45912</v>
      </c>
      <c r="B491" s="38">
        <v>5.3677000000000001</v>
      </c>
      <c r="I491" s="99">
        <v>45894</v>
      </c>
      <c r="J491" s="100">
        <v>68.8</v>
      </c>
      <c r="L491" s="47"/>
    </row>
    <row r="492" spans="1:12">
      <c r="A492" s="19">
        <v>45915</v>
      </c>
      <c r="B492" s="38">
        <v>5.3208000000000002</v>
      </c>
      <c r="I492" s="99">
        <v>45895</v>
      </c>
      <c r="J492" s="100">
        <v>67.22</v>
      </c>
      <c r="L492" s="47"/>
    </row>
    <row r="493" spans="1:12">
      <c r="A493" s="19">
        <v>45916</v>
      </c>
      <c r="B493" s="38">
        <v>5.3095999999999997</v>
      </c>
      <c r="I493" s="99">
        <v>45896</v>
      </c>
      <c r="J493" s="100">
        <v>68.05</v>
      </c>
      <c r="L493" s="47"/>
    </row>
    <row r="494" spans="1:12">
      <c r="A494" s="19">
        <v>45917</v>
      </c>
      <c r="B494" s="38">
        <v>5.3010999999999999</v>
      </c>
      <c r="I494" s="99">
        <v>45897</v>
      </c>
      <c r="J494" s="100">
        <v>68.62</v>
      </c>
      <c r="L494" s="47"/>
    </row>
    <row r="495" spans="1:12">
      <c r="A495" s="19">
        <v>45918</v>
      </c>
      <c r="B495" s="38">
        <v>5.3010000000000002</v>
      </c>
      <c r="I495" s="99">
        <v>45898</v>
      </c>
      <c r="J495" s="100">
        <v>68.12</v>
      </c>
      <c r="L495" s="47"/>
    </row>
    <row r="496" spans="1:12">
      <c r="A496" s="19">
        <v>45919</v>
      </c>
      <c r="B496" s="38">
        <v>5.3276000000000003</v>
      </c>
      <c r="I496" s="99">
        <v>45901</v>
      </c>
      <c r="J496" s="100">
        <v>68.150000000000006</v>
      </c>
      <c r="L496" s="47"/>
    </row>
    <row r="497" spans="1:12">
      <c r="A497" s="19">
        <v>45922</v>
      </c>
      <c r="B497" s="38">
        <v>5.3456999999999999</v>
      </c>
      <c r="I497" s="99">
        <v>45902</v>
      </c>
      <c r="J497" s="100">
        <v>69.14</v>
      </c>
      <c r="L497" s="47"/>
    </row>
    <row r="498" spans="1:12">
      <c r="A498" s="19">
        <v>45923</v>
      </c>
      <c r="B498" s="38">
        <v>5.3063000000000002</v>
      </c>
      <c r="I498" s="99">
        <v>45903</v>
      </c>
      <c r="J498" s="100">
        <v>67.599999999999994</v>
      </c>
      <c r="L498" s="47"/>
    </row>
    <row r="499" spans="1:12">
      <c r="A499" s="19">
        <v>45924</v>
      </c>
      <c r="B499" s="38">
        <v>5.3112000000000004</v>
      </c>
      <c r="I499" s="99">
        <v>45904</v>
      </c>
      <c r="J499" s="100">
        <v>66.989999999999995</v>
      </c>
      <c r="L499" s="47"/>
    </row>
    <row r="500" spans="1:12">
      <c r="A500" s="19">
        <v>45925</v>
      </c>
      <c r="B500" s="38">
        <v>5.3425000000000002</v>
      </c>
      <c r="I500" s="99">
        <v>45905</v>
      </c>
      <c r="J500" s="100">
        <v>65.5</v>
      </c>
      <c r="L500" s="47"/>
    </row>
    <row r="501" spans="1:12">
      <c r="A501" s="19">
        <v>45926</v>
      </c>
      <c r="B501" s="38">
        <v>5.3445</v>
      </c>
      <c r="I501" s="99">
        <v>45908</v>
      </c>
      <c r="J501" s="100">
        <v>66.02</v>
      </c>
      <c r="L501" s="47"/>
    </row>
    <row r="502" spans="1:12">
      <c r="A502" s="19">
        <v>45929</v>
      </c>
      <c r="B502" s="38">
        <v>5.3228999999999997</v>
      </c>
      <c r="I502" s="99">
        <v>45909</v>
      </c>
      <c r="J502" s="100">
        <v>66.39</v>
      </c>
      <c r="L502" s="47"/>
    </row>
    <row r="503" spans="1:12">
      <c r="A503" s="19">
        <v>45930</v>
      </c>
      <c r="B503" s="38">
        <v>5.3186</v>
      </c>
      <c r="I503" s="99">
        <v>45910</v>
      </c>
      <c r="J503" s="100">
        <v>67.489999999999995</v>
      </c>
      <c r="L503" s="47"/>
    </row>
    <row r="504" spans="1:12">
      <c r="A504" s="19">
        <v>45931</v>
      </c>
      <c r="B504" s="38">
        <v>5.3208000000000002</v>
      </c>
      <c r="I504" s="99">
        <v>45911</v>
      </c>
      <c r="J504" s="100">
        <v>66.37</v>
      </c>
      <c r="L504" s="47"/>
    </row>
    <row r="505" spans="1:12">
      <c r="A505" s="19">
        <v>45932</v>
      </c>
      <c r="B505" s="38">
        <v>5.3449</v>
      </c>
      <c r="I505" s="99">
        <v>45912</v>
      </c>
      <c r="J505" s="100">
        <v>66.989999999999995</v>
      </c>
      <c r="L505" s="47"/>
    </row>
    <row r="506" spans="1:12">
      <c r="A506" s="19">
        <v>45933</v>
      </c>
      <c r="B506" s="38">
        <v>5.3498000000000001</v>
      </c>
      <c r="I506" s="99">
        <v>45915</v>
      </c>
      <c r="J506" s="100">
        <v>67.44</v>
      </c>
      <c r="L506" s="47"/>
    </row>
    <row r="507" spans="1:12">
      <c r="A507" s="19">
        <v>45936</v>
      </c>
      <c r="B507" s="38">
        <v>5.3226000000000004</v>
      </c>
      <c r="I507" s="99">
        <v>45916</v>
      </c>
      <c r="J507" s="100">
        <v>68.47</v>
      </c>
      <c r="L507" s="47"/>
    </row>
    <row r="508" spans="1:12">
      <c r="A508" s="19">
        <v>45937</v>
      </c>
      <c r="B508" s="38">
        <v>5.3362999999999996</v>
      </c>
      <c r="I508" s="99">
        <v>45917</v>
      </c>
      <c r="J508" s="100">
        <v>67.95</v>
      </c>
      <c r="L508" s="47"/>
    </row>
    <row r="509" spans="1:12">
      <c r="A509" s="19">
        <v>45938</v>
      </c>
      <c r="B509" s="38">
        <v>5.3426999999999998</v>
      </c>
      <c r="I509" s="99">
        <v>45918</v>
      </c>
      <c r="J509" s="100">
        <v>67.44</v>
      </c>
      <c r="L509" s="47"/>
    </row>
    <row r="510" spans="1:12">
      <c r="A510" s="19">
        <v>45939</v>
      </c>
      <c r="B510" s="38">
        <v>5.3537999999999997</v>
      </c>
      <c r="I510" s="99">
        <v>45919</v>
      </c>
      <c r="J510" s="100">
        <v>66.680000000000007</v>
      </c>
      <c r="L510" s="47"/>
    </row>
    <row r="511" spans="1:12">
      <c r="A511" s="19">
        <v>45940</v>
      </c>
      <c r="B511" s="38">
        <v>5.4446000000000003</v>
      </c>
      <c r="I511" s="99">
        <v>45922</v>
      </c>
      <c r="J511" s="100">
        <v>66.569999999999993</v>
      </c>
      <c r="L511" s="47"/>
    </row>
    <row r="512" spans="1:12">
      <c r="A512" s="19">
        <v>45943</v>
      </c>
      <c r="B512" s="38">
        <v>5.4629000000000003</v>
      </c>
      <c r="I512" s="99">
        <v>45923</v>
      </c>
      <c r="J512" s="100">
        <v>67.63</v>
      </c>
      <c r="L512" s="47"/>
    </row>
    <row r="513" spans="1:12">
      <c r="A513" s="19">
        <v>45944</v>
      </c>
      <c r="B513" s="38">
        <v>5.4981999999999998</v>
      </c>
      <c r="I513" s="99">
        <v>45924</v>
      </c>
      <c r="J513" s="100">
        <v>69.31</v>
      </c>
      <c r="L513" s="47"/>
    </row>
    <row r="514" spans="1:12">
      <c r="A514" s="19">
        <v>45945</v>
      </c>
      <c r="B514" s="38">
        <v>5.4463999999999997</v>
      </c>
      <c r="I514" s="99">
        <v>45925</v>
      </c>
      <c r="J514" s="100">
        <v>69.42</v>
      </c>
      <c r="L514" s="47"/>
    </row>
    <row r="515" spans="1:12">
      <c r="A515" s="19">
        <v>45946</v>
      </c>
      <c r="B515" s="38">
        <v>5.4353999999999996</v>
      </c>
      <c r="I515" s="99">
        <v>45926</v>
      </c>
      <c r="J515" s="100">
        <v>70.13</v>
      </c>
      <c r="L515" s="47"/>
    </row>
    <row r="516" spans="1:12">
      <c r="A516" s="19">
        <v>45947</v>
      </c>
      <c r="B516" s="38">
        <v>5.4390000000000001</v>
      </c>
      <c r="E516" s="47"/>
      <c r="F516" s="39"/>
      <c r="I516" s="99">
        <v>45929</v>
      </c>
      <c r="J516" s="100">
        <v>67.97</v>
      </c>
      <c r="L516" s="47"/>
    </row>
    <row r="517" spans="1:12">
      <c r="A517" s="19">
        <v>45950</v>
      </c>
      <c r="B517" s="38">
        <v>5.3771000000000004</v>
      </c>
      <c r="E517" s="47"/>
      <c r="F517" s="39"/>
      <c r="I517" s="99">
        <v>45930</v>
      </c>
      <c r="J517" s="100">
        <v>67.02</v>
      </c>
      <c r="L517" s="47"/>
    </row>
    <row r="518" spans="1:12">
      <c r="A518" s="19">
        <v>45951</v>
      </c>
      <c r="B518" s="28">
        <v>5.3848000000000003</v>
      </c>
      <c r="E518" s="47"/>
      <c r="F518" s="39"/>
      <c r="I518" s="99">
        <v>45931</v>
      </c>
      <c r="J518" s="100">
        <v>65.349999999999994</v>
      </c>
    </row>
    <row r="519" spans="1:12">
      <c r="A519" s="19">
        <v>45952</v>
      </c>
      <c r="B519" s="28">
        <v>5.3898000000000001</v>
      </c>
      <c r="E519" s="47"/>
      <c r="F519" s="39"/>
      <c r="I519" s="99">
        <v>45932</v>
      </c>
      <c r="J519" s="100">
        <v>64.11</v>
      </c>
    </row>
    <row r="520" spans="1:12">
      <c r="A520" s="19">
        <v>45953</v>
      </c>
      <c r="B520" s="28">
        <v>5.3840000000000003</v>
      </c>
      <c r="E520" s="47"/>
      <c r="F520" s="39"/>
      <c r="I520" s="99">
        <v>45933</v>
      </c>
      <c r="J520" s="100">
        <v>64.53</v>
      </c>
    </row>
    <row r="521" spans="1:12">
      <c r="A521" s="19">
        <v>45954</v>
      </c>
      <c r="B521" s="28">
        <v>5.3796999999999997</v>
      </c>
      <c r="E521" s="47"/>
      <c r="F521" s="39"/>
      <c r="I521" s="99">
        <v>45936</v>
      </c>
      <c r="J521" s="100">
        <v>65.47</v>
      </c>
    </row>
    <row r="522" spans="1:12">
      <c r="A522" s="19">
        <v>45957</v>
      </c>
      <c r="B522" s="28">
        <v>5.3743999999999996</v>
      </c>
      <c r="E522" s="47"/>
      <c r="F522" s="39"/>
      <c r="I522" s="99">
        <v>45937</v>
      </c>
      <c r="J522" s="100">
        <v>65.45</v>
      </c>
    </row>
    <row r="523" spans="1:12">
      <c r="A523" s="19">
        <v>45958</v>
      </c>
      <c r="B523" s="28">
        <v>5.3689999999999998</v>
      </c>
      <c r="E523" s="47"/>
      <c r="F523" s="39"/>
      <c r="I523" s="99">
        <v>45938</v>
      </c>
      <c r="J523" s="100">
        <v>66.25</v>
      </c>
    </row>
    <row r="524" spans="1:12">
      <c r="A524" s="19">
        <v>45959</v>
      </c>
      <c r="B524" s="28">
        <v>5.3415999999999997</v>
      </c>
      <c r="E524" s="47"/>
      <c r="F524" s="39"/>
      <c r="I524" s="99">
        <v>45939</v>
      </c>
      <c r="J524" s="100">
        <v>65.22</v>
      </c>
    </row>
    <row r="525" spans="1:12">
      <c r="A525" s="19">
        <v>45960</v>
      </c>
      <c r="B525" s="38">
        <v>5.3849999999999998</v>
      </c>
      <c r="E525" s="47"/>
      <c r="F525" s="39"/>
      <c r="I525" s="99">
        <v>45940</v>
      </c>
      <c r="J525" s="100">
        <v>62.73</v>
      </c>
    </row>
    <row r="526" spans="1:12">
      <c r="A526" s="19">
        <v>45961</v>
      </c>
      <c r="B526" s="38">
        <v>5.3842999999999996</v>
      </c>
      <c r="E526" s="47"/>
      <c r="F526" s="39"/>
      <c r="I526" s="99">
        <v>45943</v>
      </c>
      <c r="J526" s="100">
        <v>63.32</v>
      </c>
    </row>
    <row r="527" spans="1:12">
      <c r="A527" s="19">
        <v>45964</v>
      </c>
      <c r="B527" s="38">
        <v>5.3505000000000003</v>
      </c>
      <c r="E527" s="47"/>
      <c r="F527" s="39"/>
      <c r="I527" s="47">
        <v>45944</v>
      </c>
      <c r="J527" s="39">
        <v>62.39</v>
      </c>
    </row>
    <row r="528" spans="1:12">
      <c r="A528" s="19">
        <v>45965</v>
      </c>
      <c r="B528" s="38">
        <v>5.3845999999999998</v>
      </c>
      <c r="E528" s="47"/>
      <c r="F528" s="39"/>
      <c r="I528" s="47">
        <v>45945</v>
      </c>
      <c r="J528" s="39">
        <v>61.91</v>
      </c>
    </row>
    <row r="529" spans="1:10">
      <c r="A529" s="19">
        <v>45966</v>
      </c>
      <c r="B529" s="38">
        <v>5.3798000000000004</v>
      </c>
      <c r="E529" s="47"/>
      <c r="F529" s="39"/>
      <c r="I529" s="47">
        <v>45946</v>
      </c>
      <c r="J529" s="39">
        <v>61.06</v>
      </c>
    </row>
    <row r="530" spans="1:10">
      <c r="A530" s="19">
        <v>45967</v>
      </c>
      <c r="B530" s="38">
        <v>5.3451000000000004</v>
      </c>
      <c r="E530" s="47"/>
      <c r="F530" s="39"/>
      <c r="I530" s="47">
        <v>45947</v>
      </c>
      <c r="J530" s="39">
        <v>61.29</v>
      </c>
    </row>
    <row r="531" spans="1:10">
      <c r="A531" s="19">
        <v>45968</v>
      </c>
      <c r="B531" s="38">
        <v>5.3567</v>
      </c>
      <c r="E531" s="47"/>
      <c r="F531" s="39"/>
      <c r="I531" s="47">
        <v>45950</v>
      </c>
      <c r="J531" s="39">
        <v>61.01</v>
      </c>
    </row>
    <row r="532" spans="1:10">
      <c r="A532" s="19">
        <v>45971</v>
      </c>
      <c r="B532" s="38">
        <v>5.3181000000000003</v>
      </c>
      <c r="E532" s="47"/>
      <c r="F532" s="39"/>
      <c r="I532" s="47">
        <v>45951</v>
      </c>
      <c r="J532" s="39">
        <v>61.32</v>
      </c>
    </row>
    <row r="533" spans="1:10">
      <c r="A533" s="19">
        <v>45972</v>
      </c>
      <c r="B533" s="38">
        <v>5.2728999999999999</v>
      </c>
      <c r="E533" s="47"/>
      <c r="F533" s="39"/>
      <c r="I533" s="47">
        <v>45952</v>
      </c>
      <c r="J533" s="39">
        <v>62.59</v>
      </c>
    </row>
    <row r="534" spans="1:10">
      <c r="A534" s="19">
        <v>45973</v>
      </c>
      <c r="B534" s="38">
        <v>5.2885</v>
      </c>
      <c r="E534" s="47"/>
      <c r="F534" s="39"/>
      <c r="I534" s="47">
        <v>45953</v>
      </c>
      <c r="J534" s="39">
        <v>65.989999999999995</v>
      </c>
    </row>
    <row r="535" spans="1:10">
      <c r="A535" s="19">
        <v>45974</v>
      </c>
      <c r="B535" s="38">
        <v>5.282</v>
      </c>
      <c r="E535" s="47"/>
      <c r="F535" s="39"/>
      <c r="I535" s="47">
        <v>45954</v>
      </c>
      <c r="J535" s="39">
        <v>65.94</v>
      </c>
    </row>
    <row r="536" spans="1:10">
      <c r="A536" s="19">
        <v>45975</v>
      </c>
      <c r="B536" s="38">
        <v>5.2952000000000004</v>
      </c>
      <c r="E536" s="47"/>
      <c r="F536" s="39"/>
      <c r="I536" s="47">
        <v>45957</v>
      </c>
      <c r="J536" s="39">
        <v>65.62</v>
      </c>
    </row>
    <row r="537" spans="1:10">
      <c r="A537" s="19">
        <v>45978</v>
      </c>
      <c r="B537" s="38">
        <v>5.3108000000000004</v>
      </c>
      <c r="E537" s="47"/>
      <c r="F537" s="39"/>
      <c r="I537" s="47">
        <v>45958</v>
      </c>
      <c r="J537" s="39">
        <v>64.400000000000006</v>
      </c>
    </row>
    <row r="538" spans="1:10">
      <c r="A538" s="19">
        <v>45979</v>
      </c>
      <c r="B538" s="38">
        <v>5.3361000000000001</v>
      </c>
      <c r="E538" s="47"/>
      <c r="F538" s="39"/>
      <c r="I538" s="47">
        <v>45959</v>
      </c>
      <c r="J538" s="39">
        <v>64.92</v>
      </c>
    </row>
    <row r="539" spans="1:10">
      <c r="A539" s="19">
        <v>45980</v>
      </c>
      <c r="B539" s="38">
        <v>5.3346</v>
      </c>
      <c r="E539" s="47"/>
      <c r="F539" s="39"/>
      <c r="I539" s="47">
        <v>45960</v>
      </c>
      <c r="J539" s="39">
        <v>65</v>
      </c>
    </row>
    <row r="540" spans="1:10">
      <c r="A540" s="19">
        <v>45982</v>
      </c>
      <c r="B540" s="38">
        <v>5.3902000000000001</v>
      </c>
      <c r="E540" s="47"/>
      <c r="F540" s="39"/>
      <c r="I540" s="47">
        <v>45961</v>
      </c>
      <c r="J540" s="39">
        <v>65.069999999999993</v>
      </c>
    </row>
    <row r="541" spans="1:10">
      <c r="A541" s="19">
        <v>45985</v>
      </c>
      <c r="B541" s="38">
        <v>5.3948</v>
      </c>
      <c r="E541" s="47"/>
      <c r="F541" s="39"/>
      <c r="I541" s="47">
        <v>45964</v>
      </c>
      <c r="J541" s="39">
        <v>64.89</v>
      </c>
    </row>
    <row r="542" spans="1:10">
      <c r="A542" s="19">
        <v>45986</v>
      </c>
      <c r="B542" s="38">
        <v>5.3841000000000001</v>
      </c>
      <c r="E542" s="47"/>
      <c r="F542" s="39"/>
      <c r="I542" s="47">
        <v>45965</v>
      </c>
      <c r="J542" s="39">
        <v>64.44</v>
      </c>
    </row>
    <row r="543" spans="1:10">
      <c r="A543" s="19">
        <v>45987</v>
      </c>
      <c r="B543" s="38">
        <v>5.3693999999999997</v>
      </c>
      <c r="E543" s="47"/>
      <c r="F543" s="39"/>
      <c r="I543" s="47">
        <v>45966</v>
      </c>
      <c r="J543" s="39">
        <v>63.52</v>
      </c>
    </row>
    <row r="544" spans="1:10">
      <c r="A544" s="19">
        <v>45988</v>
      </c>
      <c r="B544" s="38">
        <v>5.3490000000000002</v>
      </c>
      <c r="I544" s="47">
        <v>45967</v>
      </c>
      <c r="J544" s="39">
        <v>63.38</v>
      </c>
    </row>
    <row r="545" spans="1:10">
      <c r="A545" s="19">
        <v>45989</v>
      </c>
      <c r="B545" s="38">
        <v>5.3338000000000001</v>
      </c>
      <c r="I545" s="47">
        <v>45968</v>
      </c>
      <c r="J545" s="39">
        <v>63.63</v>
      </c>
    </row>
    <row r="546" spans="1:10">
      <c r="A546" s="19">
        <v>45992</v>
      </c>
      <c r="B546" s="38">
        <v>5.3468999999999998</v>
      </c>
      <c r="C546" s="19"/>
      <c r="I546" s="47">
        <v>45971</v>
      </c>
      <c r="J546" s="39">
        <v>64.06</v>
      </c>
    </row>
    <row r="547" spans="1:10">
      <c r="A547" s="19">
        <v>45993</v>
      </c>
      <c r="B547" s="38">
        <v>5.3464999999999998</v>
      </c>
      <c r="C547" s="19"/>
      <c r="I547" s="47">
        <v>45972</v>
      </c>
      <c r="J547" s="39">
        <v>65.16</v>
      </c>
    </row>
    <row r="548" spans="1:10">
      <c r="A548" s="19">
        <v>45994</v>
      </c>
      <c r="B548" s="38">
        <v>5.3113999999999999</v>
      </c>
      <c r="C548" s="19"/>
      <c r="I548" s="47">
        <v>45973</v>
      </c>
      <c r="J548" s="39">
        <v>62.71</v>
      </c>
    </row>
    <row r="549" spans="1:10">
      <c r="A549" s="19">
        <v>45995</v>
      </c>
      <c r="B549" s="38">
        <v>5.2952000000000004</v>
      </c>
      <c r="C549" s="19"/>
      <c r="I549" s="47">
        <v>45974</v>
      </c>
      <c r="J549" s="39">
        <v>63.01</v>
      </c>
    </row>
    <row r="550" spans="1:10">
      <c r="A550" s="19">
        <v>45996</v>
      </c>
      <c r="B550" s="38">
        <v>5.3404999999999996</v>
      </c>
      <c r="C550" s="19"/>
      <c r="I550" s="47">
        <v>45975</v>
      </c>
      <c r="J550" s="39">
        <v>64.39</v>
      </c>
    </row>
    <row r="551" spans="1:10">
      <c r="A551" s="19">
        <v>45999</v>
      </c>
      <c r="B551" s="38">
        <v>5.4249000000000001</v>
      </c>
      <c r="C551" s="19"/>
      <c r="I551" s="47">
        <v>45978</v>
      </c>
      <c r="J551" s="39">
        <v>64.2</v>
      </c>
    </row>
    <row r="552" spans="1:10">
      <c r="A552" s="19">
        <v>46000</v>
      </c>
      <c r="B552" s="38">
        <v>5.4569999999999999</v>
      </c>
      <c r="C552" s="19"/>
      <c r="I552" s="47">
        <v>45979</v>
      </c>
      <c r="J552" s="39">
        <v>64.89</v>
      </c>
    </row>
    <row r="553" spans="1:10">
      <c r="A553" s="19">
        <v>46001</v>
      </c>
      <c r="B553" s="38">
        <v>5.4656000000000002</v>
      </c>
      <c r="C553" s="19"/>
      <c r="I553" s="47">
        <v>45980</v>
      </c>
      <c r="J553" s="39">
        <v>63.51</v>
      </c>
    </row>
    <row r="554" spans="1:10">
      <c r="A554" s="19">
        <v>46002</v>
      </c>
      <c r="B554" s="38">
        <v>5.4237000000000002</v>
      </c>
      <c r="C554" s="19"/>
      <c r="I554" s="47">
        <v>45981</v>
      </c>
      <c r="J554" s="39">
        <v>63.38</v>
      </c>
    </row>
    <row r="555" spans="1:10">
      <c r="A555" s="19">
        <v>46003</v>
      </c>
      <c r="B555" s="38">
        <v>5.4010999999999996</v>
      </c>
      <c r="C555" s="19"/>
      <c r="I555" s="47">
        <v>45982</v>
      </c>
      <c r="J555" s="39">
        <v>62.56</v>
      </c>
    </row>
    <row r="556" spans="1:10">
      <c r="A556" s="19">
        <v>46006</v>
      </c>
      <c r="B556" s="38">
        <v>5.3929</v>
      </c>
      <c r="C556" s="19"/>
      <c r="I556" s="47">
        <v>45985</v>
      </c>
      <c r="J556" s="39">
        <v>63.37</v>
      </c>
    </row>
    <row r="557" spans="1:10">
      <c r="A557" s="19">
        <v>46007</v>
      </c>
      <c r="B557" s="38">
        <v>5.4504999999999999</v>
      </c>
      <c r="C557" s="19"/>
      <c r="I557" s="47">
        <v>45986</v>
      </c>
      <c r="J557" s="39">
        <v>62.48</v>
      </c>
    </row>
    <row r="558" spans="1:10">
      <c r="A558" s="19">
        <v>46008</v>
      </c>
      <c r="B558" s="38">
        <v>5.5092999999999996</v>
      </c>
      <c r="C558" s="19"/>
      <c r="I558" s="47">
        <v>45987</v>
      </c>
      <c r="J558" s="39">
        <v>63.13</v>
      </c>
    </row>
    <row r="559" spans="1:10">
      <c r="A559" s="19">
        <v>46009</v>
      </c>
      <c r="B559" s="38">
        <v>5.5282999999999998</v>
      </c>
      <c r="C559" s="19"/>
      <c r="I559" s="47">
        <v>45988</v>
      </c>
      <c r="J559" s="39">
        <v>63.34</v>
      </c>
    </row>
    <row r="560" spans="1:10">
      <c r="A560" s="19">
        <v>46010</v>
      </c>
      <c r="B560" s="38">
        <v>5.516</v>
      </c>
      <c r="C560" s="19"/>
      <c r="I560" s="47">
        <v>45989</v>
      </c>
      <c r="J560" s="39">
        <v>63.2</v>
      </c>
    </row>
    <row r="561" spans="1:10">
      <c r="A561" s="19">
        <v>46013</v>
      </c>
      <c r="B561" s="38">
        <v>5.5388999999999999</v>
      </c>
      <c r="C561" s="19"/>
      <c r="I561" s="47">
        <v>45992</v>
      </c>
      <c r="J561" s="39">
        <v>63.17</v>
      </c>
    </row>
    <row r="562" spans="1:10">
      <c r="A562" s="19">
        <v>46014</v>
      </c>
      <c r="B562" s="38">
        <v>5.5643000000000002</v>
      </c>
      <c r="C562" s="19"/>
      <c r="I562" s="47">
        <v>45993</v>
      </c>
      <c r="J562" s="39">
        <v>62.45</v>
      </c>
    </row>
    <row r="563" spans="1:10">
      <c r="A563" s="19">
        <v>46015</v>
      </c>
      <c r="B563" s="38">
        <v>5.5350000000000001</v>
      </c>
      <c r="C563" s="19"/>
      <c r="I563" s="47">
        <v>45994</v>
      </c>
      <c r="J563" s="39">
        <v>62.67</v>
      </c>
    </row>
    <row r="564" spans="1:10">
      <c r="A564" s="19">
        <v>46017</v>
      </c>
      <c r="B564" s="38">
        <v>5.5412999999999997</v>
      </c>
      <c r="C564" s="19"/>
      <c r="I564" s="47">
        <v>45995</v>
      </c>
      <c r="J564" s="39">
        <v>63.26</v>
      </c>
    </row>
    <row r="565" spans="1:10">
      <c r="A565" s="19">
        <v>46020</v>
      </c>
      <c r="B565" s="38">
        <v>5.5739000000000001</v>
      </c>
      <c r="C565" s="19"/>
      <c r="I565" s="47">
        <v>45996</v>
      </c>
      <c r="J565" s="39">
        <v>63.75</v>
      </c>
    </row>
    <row r="566" spans="1:10">
      <c r="A566" s="19">
        <v>46021</v>
      </c>
      <c r="B566" s="38">
        <v>5.5023999999999997</v>
      </c>
      <c r="C566" s="19"/>
      <c r="I566" s="47">
        <v>45999</v>
      </c>
      <c r="J566" s="39">
        <v>62.49</v>
      </c>
    </row>
    <row r="567" spans="1:10">
      <c r="A567" s="19">
        <v>46022</v>
      </c>
      <c r="B567" s="38">
        <v>5.5023999999999997</v>
      </c>
      <c r="C567" s="19"/>
      <c r="I567" s="47">
        <v>46000</v>
      </c>
      <c r="J567" s="39">
        <v>61.94</v>
      </c>
    </row>
    <row r="568" spans="1:10">
      <c r="A568" s="19">
        <v>46024</v>
      </c>
      <c r="B568" s="38">
        <v>5.4371999999999998</v>
      </c>
      <c r="I568" s="47">
        <v>46001</v>
      </c>
      <c r="J568" s="39">
        <v>62.21</v>
      </c>
    </row>
    <row r="569" spans="1:10">
      <c r="A569" s="19">
        <v>46027</v>
      </c>
      <c r="B569" s="38">
        <v>5.4351000000000003</v>
      </c>
      <c r="I569" s="47">
        <v>46002</v>
      </c>
      <c r="J569" s="39">
        <v>61.28</v>
      </c>
    </row>
    <row r="570" spans="1:10">
      <c r="A570" s="19">
        <v>46028</v>
      </c>
      <c r="B570" s="38">
        <v>5.3796999999999997</v>
      </c>
      <c r="I570" s="47">
        <v>46003</v>
      </c>
      <c r="J570" s="39">
        <v>61.12</v>
      </c>
    </row>
    <row r="571" spans="1:10">
      <c r="A571" s="19">
        <v>46029</v>
      </c>
      <c r="B571" s="38">
        <v>5.3879999999999999</v>
      </c>
      <c r="I571" s="47">
        <v>46006</v>
      </c>
      <c r="J571" s="39">
        <v>60.56</v>
      </c>
    </row>
    <row r="572" spans="1:10">
      <c r="A572" s="19">
        <v>46030</v>
      </c>
      <c r="B572" s="38">
        <v>5.3860000000000001</v>
      </c>
      <c r="I572" s="47">
        <v>46007</v>
      </c>
      <c r="J572" s="39">
        <v>58.92</v>
      </c>
    </row>
    <row r="573" spans="1:10">
      <c r="A573" s="19">
        <v>46031</v>
      </c>
      <c r="B573" s="38">
        <v>5.3707000000000003</v>
      </c>
      <c r="I573" s="47">
        <v>46008</v>
      </c>
      <c r="J573" s="39">
        <v>59.68</v>
      </c>
    </row>
    <row r="574" spans="1:10">
      <c r="A574" s="19">
        <v>46034</v>
      </c>
      <c r="B574" s="38">
        <v>5.3760000000000003</v>
      </c>
      <c r="I574" s="47">
        <v>46009</v>
      </c>
      <c r="J574" s="39">
        <v>59.82</v>
      </c>
    </row>
    <row r="575" spans="1:10">
      <c r="A575" s="19">
        <v>46035</v>
      </c>
      <c r="B575" s="38">
        <v>5.3764000000000003</v>
      </c>
      <c r="I575" s="47">
        <v>46010</v>
      </c>
      <c r="J575" s="39">
        <v>60.47</v>
      </c>
    </row>
    <row r="576" spans="1:10">
      <c r="A576" s="19">
        <v>46036</v>
      </c>
      <c r="B576" s="38">
        <v>5.3795000000000002</v>
      </c>
      <c r="I576" s="47">
        <v>46013</v>
      </c>
      <c r="J576" s="39">
        <v>62.07</v>
      </c>
    </row>
    <row r="577" spans="1:10">
      <c r="A577" s="19">
        <v>46037</v>
      </c>
      <c r="B577" s="38">
        <v>5.3845999999999998</v>
      </c>
      <c r="I577" s="47">
        <v>46014</v>
      </c>
      <c r="J577" s="39">
        <v>62.38</v>
      </c>
    </row>
    <row r="578" spans="1:10">
      <c r="A578" s="19">
        <v>46038</v>
      </c>
      <c r="B578" s="38">
        <v>5.3798000000000004</v>
      </c>
      <c r="I578" s="47">
        <v>46015</v>
      </c>
      <c r="J578" s="39">
        <v>62.24</v>
      </c>
    </row>
    <row r="579" spans="1:10">
      <c r="A579" s="19">
        <v>46041</v>
      </c>
      <c r="B579" s="38">
        <v>5.3653000000000004</v>
      </c>
      <c r="I579" s="47">
        <v>46017</v>
      </c>
      <c r="J579" s="39">
        <v>60.64</v>
      </c>
    </row>
    <row r="580" spans="1:10">
      <c r="A580" s="19">
        <v>46042</v>
      </c>
      <c r="B580" s="38">
        <v>5.3789999999999996</v>
      </c>
      <c r="I580" s="47">
        <v>46020</v>
      </c>
      <c r="J580" s="39">
        <v>61.94</v>
      </c>
    </row>
    <row r="581" spans="1:10">
      <c r="A581" s="19">
        <v>46043</v>
      </c>
      <c r="B581" s="38">
        <v>5.3368000000000002</v>
      </c>
      <c r="I581" s="47">
        <v>46021</v>
      </c>
      <c r="J581" s="39">
        <v>61.92</v>
      </c>
    </row>
    <row r="582" spans="1:10">
      <c r="A582" s="19">
        <v>46044</v>
      </c>
      <c r="B582" s="38">
        <v>5.3117999999999999</v>
      </c>
      <c r="I582" s="47">
        <v>46022</v>
      </c>
      <c r="J582" s="39">
        <v>60.85</v>
      </c>
    </row>
    <row r="583" spans="1:10">
      <c r="A583" s="19">
        <v>46045</v>
      </c>
      <c r="B583" s="38">
        <v>5.2878999999999996</v>
      </c>
      <c r="I583" s="47">
        <v>46024</v>
      </c>
      <c r="J583" s="39">
        <v>60.75</v>
      </c>
    </row>
    <row r="584" spans="1:10">
      <c r="A584" s="19">
        <v>46048</v>
      </c>
      <c r="B584" s="38">
        <v>5.2759999999999998</v>
      </c>
      <c r="I584" s="47">
        <v>46027</v>
      </c>
      <c r="J584" s="39">
        <v>61.76</v>
      </c>
    </row>
    <row r="585" spans="1:10">
      <c r="A585" s="19">
        <v>46049</v>
      </c>
      <c r="B585" s="38">
        <v>5.2392000000000003</v>
      </c>
      <c r="I585" s="47">
        <v>46028</v>
      </c>
      <c r="J585" s="39">
        <v>60.7</v>
      </c>
    </row>
    <row r="586" spans="1:10">
      <c r="A586" s="19">
        <v>46050</v>
      </c>
      <c r="B586" s="38">
        <v>5.1837999999999997</v>
      </c>
      <c r="I586" s="47">
        <v>46029</v>
      </c>
      <c r="J586" s="39">
        <v>59.96</v>
      </c>
    </row>
    <row r="587" spans="1:10">
      <c r="A587" s="19">
        <v>46051</v>
      </c>
      <c r="B587" s="38">
        <v>5.1955999999999998</v>
      </c>
      <c r="I587" s="47">
        <v>46030</v>
      </c>
      <c r="J587" s="39">
        <v>61.99</v>
      </c>
    </row>
    <row r="588" spans="1:10">
      <c r="A588" s="19">
        <v>46052</v>
      </c>
      <c r="B588" s="38">
        <v>5.2301000000000002</v>
      </c>
      <c r="I588" s="47">
        <v>46031</v>
      </c>
      <c r="J588" s="39">
        <v>63.34</v>
      </c>
    </row>
    <row r="589" spans="1:10">
      <c r="A589" s="19">
        <v>46055</v>
      </c>
      <c r="B589" s="28">
        <v>5.2587000000000002</v>
      </c>
      <c r="I589" s="47">
        <v>46034</v>
      </c>
      <c r="J589" s="39">
        <v>63.87</v>
      </c>
    </row>
    <row r="590" spans="1:10">
      <c r="A590" s="19">
        <v>46056</v>
      </c>
      <c r="B590" s="28">
        <v>5.2236000000000002</v>
      </c>
      <c r="I590" s="47">
        <v>46035</v>
      </c>
      <c r="J590" s="39">
        <v>65.47</v>
      </c>
    </row>
    <row r="591" spans="1:10">
      <c r="A591" s="19">
        <v>46057</v>
      </c>
      <c r="B591" s="28">
        <v>5.2359</v>
      </c>
      <c r="I591" s="47">
        <v>46036</v>
      </c>
      <c r="J591" s="39">
        <v>66.52</v>
      </c>
    </row>
    <row r="592" spans="1:10">
      <c r="A592" s="19">
        <v>46058</v>
      </c>
      <c r="B592" s="38">
        <v>5.258</v>
      </c>
      <c r="D592" s="19"/>
      <c r="I592" s="47">
        <v>46037</v>
      </c>
      <c r="J592" s="39">
        <v>63.76</v>
      </c>
    </row>
    <row r="593" spans="1:10">
      <c r="A593" s="19">
        <v>46059</v>
      </c>
      <c r="B593" s="28">
        <v>5.2340999999999998</v>
      </c>
      <c r="D593" s="19"/>
      <c r="I593" s="47">
        <v>46038</v>
      </c>
      <c r="J593" s="39">
        <v>64.13</v>
      </c>
    </row>
    <row r="594" spans="1:10">
      <c r="A594" s="19">
        <v>46062</v>
      </c>
      <c r="B594" s="28">
        <v>5.1943000000000001</v>
      </c>
      <c r="D594" s="19"/>
      <c r="I594" s="47">
        <v>46041</v>
      </c>
      <c r="J594" s="39">
        <v>63.94</v>
      </c>
    </row>
    <row r="595" spans="1:10">
      <c r="A595" s="19">
        <v>46063</v>
      </c>
      <c r="B595" s="28">
        <v>5.2020999999999997</v>
      </c>
      <c r="D595" s="19"/>
      <c r="I595" s="47">
        <v>46042</v>
      </c>
      <c r="J595" s="39">
        <v>64.92</v>
      </c>
    </row>
    <row r="596" spans="1:10">
      <c r="A596" s="19">
        <v>46064</v>
      </c>
      <c r="B596" s="28">
        <v>5.1836000000000002</v>
      </c>
      <c r="D596" s="19"/>
      <c r="I596" s="47">
        <v>46043</v>
      </c>
      <c r="J596" s="39">
        <v>65.239999999999995</v>
      </c>
    </row>
    <row r="597" spans="1:10">
      <c r="A597" s="19">
        <v>46065</v>
      </c>
      <c r="B597" s="28">
        <v>5.1673999999999998</v>
      </c>
      <c r="D597" s="19"/>
      <c r="I597" s="47">
        <v>46044</v>
      </c>
      <c r="J597" s="39">
        <v>64.06</v>
      </c>
    </row>
    <row r="598" spans="1:10">
      <c r="A598" s="19">
        <v>46066</v>
      </c>
      <c r="B598" s="28">
        <v>5.2287999999999997</v>
      </c>
      <c r="D598" s="19"/>
      <c r="I598" s="47">
        <v>46045</v>
      </c>
      <c r="J598" s="39">
        <v>65.88</v>
      </c>
    </row>
    <row r="599" spans="1:10">
      <c r="A599" s="19">
        <v>46071</v>
      </c>
      <c r="B599" s="28">
        <v>5.2348999999999997</v>
      </c>
      <c r="D599" s="19"/>
      <c r="I599" s="47">
        <v>46048</v>
      </c>
      <c r="J599" s="39">
        <v>65.59</v>
      </c>
    </row>
    <row r="600" spans="1:10">
      <c r="A600" s="19">
        <v>46072</v>
      </c>
      <c r="B600" s="28">
        <v>5.2256999999999998</v>
      </c>
      <c r="D600" s="19"/>
      <c r="I600" s="47">
        <v>46049</v>
      </c>
      <c r="J600" s="39">
        <v>67.569999999999993</v>
      </c>
    </row>
    <row r="601" spans="1:10">
      <c r="A601" s="19">
        <v>46073</v>
      </c>
      <c r="B601" s="28">
        <v>5.2005999999999997</v>
      </c>
      <c r="D601" s="19"/>
      <c r="I601" s="47">
        <v>46050</v>
      </c>
      <c r="J601" s="39">
        <v>68.400000000000006</v>
      </c>
    </row>
    <row r="602" spans="1:10">
      <c r="A602" s="19">
        <v>46076</v>
      </c>
      <c r="B602" s="28">
        <v>5.1635</v>
      </c>
      <c r="D602" s="19"/>
      <c r="I602" s="47">
        <v>46051</v>
      </c>
      <c r="J602" s="39">
        <v>70.709999999999994</v>
      </c>
    </row>
    <row r="603" spans="1:10">
      <c r="A603" s="19">
        <v>46077</v>
      </c>
      <c r="B603" s="28">
        <v>5.1681999999999997</v>
      </c>
      <c r="D603" s="19"/>
      <c r="I603" s="47">
        <v>46052</v>
      </c>
      <c r="J603" s="39">
        <v>70.69</v>
      </c>
    </row>
    <row r="604" spans="1:10">
      <c r="A604" s="19">
        <v>46078</v>
      </c>
      <c r="B604" s="38">
        <v>5.1440000000000001</v>
      </c>
      <c r="D604" s="19"/>
      <c r="I604" s="47">
        <v>46055</v>
      </c>
      <c r="J604" s="39">
        <v>66.3</v>
      </c>
    </row>
    <row r="605" spans="1:10">
      <c r="A605" s="19">
        <v>46079</v>
      </c>
      <c r="B605" s="28">
        <v>5.1382000000000003</v>
      </c>
      <c r="D605" s="19"/>
      <c r="I605" s="47">
        <v>46056</v>
      </c>
      <c r="J605" s="39">
        <v>67.33</v>
      </c>
    </row>
    <row r="606" spans="1:10">
      <c r="A606" s="19">
        <v>46080</v>
      </c>
      <c r="B606" s="28">
        <v>5.1494999999999997</v>
      </c>
      <c r="D606" s="19"/>
      <c r="I606" s="47">
        <v>46057</v>
      </c>
      <c r="J606" s="39">
        <v>69.459999999999994</v>
      </c>
    </row>
    <row r="607" spans="1:10">
      <c r="A607" s="19">
        <v>46083</v>
      </c>
      <c r="B607" s="28">
        <v>5.2000999999999999</v>
      </c>
      <c r="I607" s="47">
        <v>46058</v>
      </c>
      <c r="J607" s="39">
        <v>67.55</v>
      </c>
    </row>
    <row r="608" spans="1:10">
      <c r="A608" s="19">
        <v>46084</v>
      </c>
      <c r="B608" s="38">
        <v>5.2869999999999999</v>
      </c>
      <c r="I608" s="47">
        <v>46059</v>
      </c>
      <c r="J608" s="39">
        <v>68.05</v>
      </c>
    </row>
    <row r="609" spans="1:10">
      <c r="A609" s="19">
        <v>46085</v>
      </c>
      <c r="B609" s="28">
        <v>5.2091000000000003</v>
      </c>
      <c r="I609" s="47">
        <v>46062</v>
      </c>
      <c r="J609" s="39">
        <v>69.040000000000006</v>
      </c>
    </row>
    <row r="610" spans="1:10">
      <c r="A610" s="19">
        <v>46086</v>
      </c>
      <c r="B610" s="28">
        <v>5.2446999999999999</v>
      </c>
      <c r="I610" s="47">
        <v>46063</v>
      </c>
      <c r="J610" s="39">
        <v>68.8</v>
      </c>
    </row>
    <row r="611" spans="1:10">
      <c r="A611" s="19">
        <v>46087</v>
      </c>
      <c r="B611" s="28">
        <v>5.2877999999999998</v>
      </c>
      <c r="I611" s="47">
        <v>46064</v>
      </c>
      <c r="J611" s="39">
        <v>69.400000000000006</v>
      </c>
    </row>
    <row r="612" spans="1:10">
      <c r="A612" s="19">
        <v>46090</v>
      </c>
      <c r="B612" s="28">
        <v>5.2138999999999998</v>
      </c>
      <c r="I612" s="47">
        <v>46065</v>
      </c>
      <c r="J612" s="39">
        <v>67.52</v>
      </c>
    </row>
    <row r="613" spans="1:10">
      <c r="A613" s="19">
        <v>46091</v>
      </c>
      <c r="B613" s="28">
        <v>5.1622000000000003</v>
      </c>
      <c r="I613" s="47">
        <v>46066</v>
      </c>
      <c r="J613" s="39">
        <v>67.75</v>
      </c>
    </row>
    <row r="614" spans="1:10">
      <c r="A614" s="19">
        <v>46092</v>
      </c>
      <c r="B614" s="28">
        <v>5.1596000000000002</v>
      </c>
      <c r="I614" s="47">
        <v>46069</v>
      </c>
      <c r="J614" s="39">
        <v>68.650000000000006</v>
      </c>
    </row>
    <row r="615" spans="1:10">
      <c r="A615" s="19">
        <v>46093</v>
      </c>
      <c r="B615" s="28">
        <v>5.2050999999999998</v>
      </c>
      <c r="I615" s="47">
        <v>46070</v>
      </c>
      <c r="J615" s="39">
        <v>67.42</v>
      </c>
    </row>
    <row r="616" spans="1:10">
      <c r="A616" s="19">
        <v>46094</v>
      </c>
      <c r="B616" s="28">
        <v>5.2541000000000002</v>
      </c>
      <c r="I616" s="47">
        <v>46071</v>
      </c>
      <c r="J616" s="39">
        <v>70.349999999999994</v>
      </c>
    </row>
    <row r="617" spans="1:10">
      <c r="A617" s="19">
        <v>46097</v>
      </c>
      <c r="B617" s="28">
        <v>5.2647000000000004</v>
      </c>
      <c r="I617" s="47">
        <v>46072</v>
      </c>
      <c r="J617" s="39">
        <v>71.66</v>
      </c>
    </row>
    <row r="618" spans="1:10">
      <c r="A618" s="19">
        <v>46098</v>
      </c>
      <c r="B618" s="28">
        <v>5.2022000000000004</v>
      </c>
      <c r="I618" s="47">
        <v>46073</v>
      </c>
      <c r="J618" s="39">
        <v>71.760000000000005</v>
      </c>
    </row>
    <row r="619" spans="1:10">
      <c r="A619" s="19">
        <v>46099</v>
      </c>
      <c r="B619" s="28">
        <v>5.2111999999999998</v>
      </c>
      <c r="I619" s="47">
        <v>46076</v>
      </c>
      <c r="J619" s="39">
        <v>71.489999999999995</v>
      </c>
    </row>
    <row r="620" spans="1:10">
      <c r="A620" s="19">
        <v>46100</v>
      </c>
      <c r="B620" s="28">
        <v>5.2587000000000002</v>
      </c>
      <c r="I620" s="47">
        <v>46077</v>
      </c>
      <c r="J620" s="39">
        <v>70.77</v>
      </c>
    </row>
    <row r="621" spans="1:10">
      <c r="A621" s="19">
        <v>46101</v>
      </c>
      <c r="B621" s="38">
        <v>5.28</v>
      </c>
      <c r="I621" s="47">
        <v>46078</v>
      </c>
      <c r="J621" s="39">
        <v>70.849999999999994</v>
      </c>
    </row>
    <row r="622" spans="1:10">
      <c r="A622" s="19">
        <v>46104</v>
      </c>
      <c r="B622" s="38">
        <v>5.2439999999999998</v>
      </c>
      <c r="I622" s="47">
        <v>46079</v>
      </c>
      <c r="J622" s="39">
        <v>70.75</v>
      </c>
    </row>
    <row r="623" spans="1:10">
      <c r="A623" s="19">
        <v>46105</v>
      </c>
      <c r="B623" s="28">
        <v>5.2599</v>
      </c>
      <c r="I623" s="47">
        <v>46080</v>
      </c>
      <c r="J623" s="39">
        <v>72.48</v>
      </c>
    </row>
    <row r="624" spans="1:10">
      <c r="A624" s="19">
        <v>46106</v>
      </c>
      <c r="B624" s="28">
        <v>5.2275</v>
      </c>
      <c r="I624" s="47">
        <v>46083</v>
      </c>
      <c r="J624" s="39">
        <v>77.739999999999995</v>
      </c>
    </row>
    <row r="625" spans="1:10">
      <c r="A625" s="19">
        <v>46107</v>
      </c>
      <c r="B625" s="28">
        <v>5.2308000000000003</v>
      </c>
      <c r="I625" s="47">
        <v>46084</v>
      </c>
      <c r="J625" s="39">
        <v>81.400000000000006</v>
      </c>
    </row>
    <row r="626" spans="1:10">
      <c r="A626" s="19">
        <v>46108</v>
      </c>
      <c r="B626" s="28">
        <v>5.2375999999999996</v>
      </c>
      <c r="I626" s="47">
        <v>46085</v>
      </c>
      <c r="J626" s="39">
        <v>81.400000000000006</v>
      </c>
    </row>
    <row r="627" spans="1:10">
      <c r="A627" s="19">
        <v>46111</v>
      </c>
      <c r="B627" s="28">
        <v>5.2352999999999996</v>
      </c>
      <c r="I627" s="47">
        <v>46086</v>
      </c>
      <c r="J627" s="39">
        <v>85.41</v>
      </c>
    </row>
    <row r="628" spans="1:10">
      <c r="A628" s="19">
        <v>46112</v>
      </c>
      <c r="B628" s="28">
        <v>5.2194000000000003</v>
      </c>
      <c r="I628" s="47">
        <v>46087</v>
      </c>
      <c r="J628" s="39">
        <v>92.69</v>
      </c>
    </row>
    <row r="629" spans="1:10">
      <c r="A629" s="19">
        <v>46113</v>
      </c>
      <c r="B629" s="28">
        <v>5.1605999999999996</v>
      </c>
      <c r="C629" s="19"/>
      <c r="I629" s="47">
        <v>46090</v>
      </c>
      <c r="J629" s="39">
        <v>98.96</v>
      </c>
    </row>
    <row r="630" spans="1:10">
      <c r="A630" s="19">
        <v>46114</v>
      </c>
      <c r="B630" s="28">
        <v>5.1654999999999998</v>
      </c>
      <c r="C630" s="19"/>
      <c r="I630" s="47">
        <v>46091</v>
      </c>
      <c r="J630" s="39">
        <v>87.8</v>
      </c>
    </row>
    <row r="631" spans="1:10">
      <c r="A631" s="19">
        <v>46118</v>
      </c>
      <c r="B631" s="28">
        <v>5.1532</v>
      </c>
      <c r="C631" s="19"/>
      <c r="I631" s="47">
        <v>46092</v>
      </c>
      <c r="J631" s="39">
        <v>91.98</v>
      </c>
    </row>
    <row r="632" spans="1:10">
      <c r="A632" s="19">
        <v>46119</v>
      </c>
      <c r="B632" s="28">
        <v>5.1624999999999996</v>
      </c>
      <c r="C632" s="19"/>
      <c r="I632" s="47">
        <v>46093</v>
      </c>
      <c r="J632" s="39">
        <v>100.46</v>
      </c>
    </row>
    <row r="633" spans="1:10">
      <c r="A633" s="19">
        <v>46120</v>
      </c>
      <c r="B633" s="28">
        <v>5.0899000000000001</v>
      </c>
      <c r="C633" s="19"/>
      <c r="I633" s="47">
        <v>46094</v>
      </c>
      <c r="J633" s="39">
        <v>103.14</v>
      </c>
    </row>
    <row r="634" spans="1:10">
      <c r="A634" s="19">
        <v>46121</v>
      </c>
      <c r="B634" s="28">
        <v>5.0820999999999996</v>
      </c>
      <c r="C634" s="19"/>
      <c r="I634" s="47">
        <v>46097</v>
      </c>
      <c r="J634" s="39">
        <v>100.21</v>
      </c>
    </row>
    <row r="635" spans="1:10">
      <c r="A635" s="19">
        <v>46122</v>
      </c>
      <c r="B635" s="28">
        <v>5.0228999999999999</v>
      </c>
      <c r="C635" s="19"/>
      <c r="I635" s="47">
        <v>46098</v>
      </c>
      <c r="J635" s="39">
        <v>103.42</v>
      </c>
    </row>
    <row r="636" spans="1:10">
      <c r="A636" s="19">
        <v>46125</v>
      </c>
      <c r="B636" s="28">
        <v>5.0244</v>
      </c>
      <c r="C636" s="19"/>
      <c r="I636" s="47">
        <v>46099</v>
      </c>
      <c r="J636" s="39">
        <v>107.38</v>
      </c>
    </row>
    <row r="637" spans="1:10">
      <c r="A637" s="19">
        <v>46126</v>
      </c>
      <c r="B637" s="28">
        <v>4.9805999999999999</v>
      </c>
      <c r="C637" s="19"/>
      <c r="I637" s="47">
        <v>46100</v>
      </c>
      <c r="J637" s="39">
        <v>108.65</v>
      </c>
    </row>
    <row r="638" spans="1:10">
      <c r="A638" s="19">
        <v>46127</v>
      </c>
      <c r="B638" s="28">
        <v>4.9927999999999999</v>
      </c>
      <c r="C638" s="19"/>
      <c r="I638" s="47">
        <v>46101</v>
      </c>
      <c r="J638" s="39">
        <v>112.19</v>
      </c>
    </row>
    <row r="639" spans="1:10">
      <c r="A639" s="19">
        <v>46128</v>
      </c>
      <c r="B639" s="28">
        <v>5.0007000000000001</v>
      </c>
      <c r="C639" s="19"/>
      <c r="I639" s="47">
        <v>46104</v>
      </c>
      <c r="J639" s="39">
        <v>99.94</v>
      </c>
    </row>
    <row r="640" spans="1:10">
      <c r="A640" s="19">
        <v>46129</v>
      </c>
      <c r="B640" s="28">
        <v>4.9695</v>
      </c>
      <c r="C640" s="19"/>
      <c r="I640" s="47">
        <v>46105</v>
      </c>
      <c r="J640" s="39">
        <v>104.49</v>
      </c>
    </row>
    <row r="641" spans="1:10">
      <c r="A641" s="19">
        <v>46132</v>
      </c>
      <c r="B641" s="28">
        <v>4.9843999999999999</v>
      </c>
      <c r="C641" s="19"/>
      <c r="I641" s="47">
        <v>46106</v>
      </c>
      <c r="J641" s="39">
        <v>102.22</v>
      </c>
    </row>
    <row r="642" spans="1:10">
      <c r="A642" s="19">
        <v>46134</v>
      </c>
      <c r="B642" s="28">
        <v>4.9653</v>
      </c>
      <c r="C642" s="19"/>
      <c r="I642" s="47">
        <v>46107</v>
      </c>
      <c r="J642" s="39">
        <v>108.01</v>
      </c>
    </row>
    <row r="643" spans="1:10">
      <c r="A643" s="19">
        <v>46135</v>
      </c>
      <c r="B643" s="28">
        <v>4.9539</v>
      </c>
      <c r="C643" s="19"/>
      <c r="I643" s="47">
        <v>46108</v>
      </c>
      <c r="J643" s="39">
        <v>112.57</v>
      </c>
    </row>
    <row r="644" spans="1:10">
      <c r="A644" s="19">
        <v>46136</v>
      </c>
      <c r="B644" s="28">
        <v>5.0083000000000002</v>
      </c>
      <c r="C644" s="19"/>
      <c r="I644" s="47">
        <v>46111</v>
      </c>
      <c r="J644" s="39">
        <v>112.78</v>
      </c>
    </row>
    <row r="645" spans="1:10">
      <c r="A645" s="19">
        <v>46139</v>
      </c>
      <c r="B645" s="38">
        <v>4.97</v>
      </c>
      <c r="C645" s="19"/>
      <c r="I645" s="47">
        <v>46112</v>
      </c>
      <c r="J645" s="39">
        <v>118.35</v>
      </c>
    </row>
    <row r="646" spans="1:10">
      <c r="A646" s="19">
        <v>46140</v>
      </c>
      <c r="B646" s="28">
        <v>4.9878</v>
      </c>
      <c r="C646" s="19"/>
      <c r="I646" s="47">
        <v>46113</v>
      </c>
      <c r="J646" s="39">
        <v>101.16</v>
      </c>
    </row>
    <row r="647" spans="1:10">
      <c r="A647" s="19">
        <v>46141</v>
      </c>
      <c r="B647" s="28">
        <v>4.9984999999999999</v>
      </c>
      <c r="C647" s="19"/>
      <c r="I647" s="47">
        <v>46114</v>
      </c>
      <c r="J647" s="39">
        <v>109.03</v>
      </c>
    </row>
    <row r="648" spans="1:10">
      <c r="A648" s="19">
        <v>46142</v>
      </c>
      <c r="B648" s="28">
        <v>4.9885999999999999</v>
      </c>
      <c r="C648" s="19"/>
      <c r="I648" s="47">
        <v>46118</v>
      </c>
      <c r="J648" s="39">
        <v>109.77</v>
      </c>
    </row>
    <row r="649" spans="1:10">
      <c r="A649" s="19">
        <v>46146</v>
      </c>
      <c r="B649" s="28">
        <v>4.9587000000000003</v>
      </c>
      <c r="I649" s="47">
        <v>46119</v>
      </c>
      <c r="J649" s="39">
        <v>109.27</v>
      </c>
    </row>
    <row r="650" spans="1:10">
      <c r="A650" s="19">
        <v>46147</v>
      </c>
      <c r="B650" s="28">
        <v>4.9241999999999999</v>
      </c>
      <c r="I650" s="47">
        <v>46120</v>
      </c>
      <c r="J650" s="39">
        <v>94.75</v>
      </c>
    </row>
    <row r="651" spans="1:10">
      <c r="A651" s="19">
        <v>46148</v>
      </c>
      <c r="B651" s="28">
        <v>4.9273999999999996</v>
      </c>
      <c r="I651" s="47">
        <v>46121</v>
      </c>
      <c r="J651" s="39">
        <v>95.92</v>
      </c>
    </row>
    <row r="652" spans="1:10">
      <c r="A652" s="19">
        <v>46149</v>
      </c>
      <c r="B652" s="38">
        <v>4.9169999999999998</v>
      </c>
      <c r="I652" s="47">
        <v>46122</v>
      </c>
      <c r="J652" s="39">
        <v>95.2</v>
      </c>
    </row>
    <row r="653" spans="1:10">
      <c r="A653" s="19">
        <v>46150</v>
      </c>
      <c r="B653" s="28">
        <v>4.8998999999999997</v>
      </c>
      <c r="I653" s="47">
        <v>46125</v>
      </c>
      <c r="J653" s="39">
        <v>99.36</v>
      </c>
    </row>
    <row r="654" spans="1:10">
      <c r="A654" s="19">
        <v>46153</v>
      </c>
      <c r="B654" s="28">
        <v>4.8973000000000004</v>
      </c>
      <c r="I654" s="47">
        <v>46126</v>
      </c>
      <c r="J654" s="39">
        <v>94.79</v>
      </c>
    </row>
    <row r="655" spans="1:10">
      <c r="A655" s="19">
        <v>46154</v>
      </c>
      <c r="B655" s="28">
        <v>4.8977000000000004</v>
      </c>
      <c r="I655" s="47">
        <v>46127</v>
      </c>
      <c r="J655" s="39">
        <v>94.93</v>
      </c>
    </row>
    <row r="656" spans="1:10">
      <c r="A656" s="19">
        <v>46155</v>
      </c>
      <c r="B656" s="28">
        <v>4.9118000000000004</v>
      </c>
      <c r="I656" s="47">
        <v>46128</v>
      </c>
      <c r="J656" s="39">
        <v>99.39</v>
      </c>
    </row>
    <row r="657" spans="1:10">
      <c r="A657" s="19">
        <v>46156</v>
      </c>
      <c r="B657" s="28">
        <v>4.9809000000000001</v>
      </c>
      <c r="I657" s="47">
        <v>46129</v>
      </c>
      <c r="J657" s="39">
        <v>90.38</v>
      </c>
    </row>
    <row r="658" spans="1:10">
      <c r="A658" s="19">
        <v>46157</v>
      </c>
      <c r="B658" s="28">
        <v>5.0654000000000003</v>
      </c>
      <c r="I658" s="47">
        <v>46132</v>
      </c>
      <c r="J658" s="39">
        <v>95.48</v>
      </c>
    </row>
    <row r="659" spans="1:10">
      <c r="A659" s="19">
        <v>46160</v>
      </c>
      <c r="B659" s="28">
        <v>5.0092999999999996</v>
      </c>
      <c r="I659" s="47">
        <v>46133</v>
      </c>
      <c r="J659" s="39">
        <v>98.48</v>
      </c>
    </row>
    <row r="660" spans="1:10">
      <c r="A660" s="19">
        <v>46161</v>
      </c>
      <c r="B660" s="28">
        <v>5.0377999999999998</v>
      </c>
      <c r="I660" s="47">
        <v>46134</v>
      </c>
      <c r="J660" s="39">
        <v>101.91</v>
      </c>
    </row>
    <row r="661" spans="1:10">
      <c r="A661" s="19">
        <v>46162</v>
      </c>
      <c r="B661" s="28">
        <v>5.0301</v>
      </c>
      <c r="I661" s="47">
        <v>46135</v>
      </c>
      <c r="J661" s="39">
        <v>105.07</v>
      </c>
    </row>
    <row r="662" spans="1:10">
      <c r="A662" s="19">
        <v>46163</v>
      </c>
      <c r="B662" s="28">
        <v>5.0076999999999998</v>
      </c>
      <c r="I662" s="47">
        <v>46136</v>
      </c>
      <c r="J662" s="39">
        <v>105.33</v>
      </c>
    </row>
    <row r="663" spans="1:10">
      <c r="A663" s="19">
        <v>46164</v>
      </c>
      <c r="B663" s="38">
        <v>5.0140000000000002</v>
      </c>
      <c r="I663" s="47">
        <v>46139</v>
      </c>
      <c r="J663" s="39">
        <v>108.23</v>
      </c>
    </row>
    <row r="664" spans="1:10">
      <c r="A664" s="19">
        <v>46167</v>
      </c>
      <c r="B664" s="28">
        <v>5.0072000000000001</v>
      </c>
      <c r="I664" s="47">
        <v>46140</v>
      </c>
      <c r="J664" s="39">
        <v>111.26</v>
      </c>
    </row>
    <row r="665" spans="1:10">
      <c r="A665" s="19">
        <v>46168</v>
      </c>
      <c r="B665" s="28">
        <v>5.0210999999999997</v>
      </c>
      <c r="I665" s="47">
        <v>46141</v>
      </c>
      <c r="J665" s="39">
        <v>118.03</v>
      </c>
    </row>
    <row r="666" spans="1:10">
      <c r="A666" s="19">
        <v>46169</v>
      </c>
      <c r="B666" s="28">
        <v>5.0579000000000001</v>
      </c>
      <c r="I666" s="47">
        <v>46142</v>
      </c>
      <c r="J666" s="39">
        <v>114.01</v>
      </c>
    </row>
    <row r="667" spans="1:10">
      <c r="A667" s="19">
        <v>46170</v>
      </c>
      <c r="B667" s="28">
        <v>5.0517000000000003</v>
      </c>
      <c r="I667" s="47">
        <v>46143</v>
      </c>
      <c r="J667" s="39">
        <v>108.17</v>
      </c>
    </row>
    <row r="668" spans="1:10">
      <c r="A668" s="19">
        <v>46171</v>
      </c>
      <c r="B668" s="28">
        <v>5.0568999999999997</v>
      </c>
      <c r="I668" s="47">
        <v>46146</v>
      </c>
      <c r="J668" s="39">
        <v>114.44</v>
      </c>
    </row>
    <row r="669" spans="1:10">
      <c r="A669" s="19"/>
      <c r="I669" s="47">
        <v>46147</v>
      </c>
      <c r="J669" s="39">
        <v>109.87</v>
      </c>
    </row>
    <row r="670" spans="1:10">
      <c r="A670" s="19"/>
      <c r="I670" s="47">
        <v>46148</v>
      </c>
      <c r="J670" s="39">
        <v>101.27</v>
      </c>
    </row>
    <row r="671" spans="1:10">
      <c r="A671" s="19"/>
      <c r="I671" s="47">
        <v>46149</v>
      </c>
      <c r="J671" s="39">
        <v>100.06</v>
      </c>
    </row>
    <row r="672" spans="1:10">
      <c r="A672" s="19"/>
      <c r="I672" s="47">
        <v>46150</v>
      </c>
      <c r="J672" s="39">
        <v>101.29</v>
      </c>
    </row>
    <row r="673" spans="1:10">
      <c r="A673" s="19"/>
      <c r="I673" s="47">
        <v>46153</v>
      </c>
      <c r="J673" s="39">
        <v>104.21</v>
      </c>
    </row>
    <row r="674" spans="1:10">
      <c r="A674" s="19"/>
      <c r="I674" s="47">
        <v>46154</v>
      </c>
      <c r="J674" s="39">
        <v>107.77</v>
      </c>
    </row>
    <row r="675" spans="1:10">
      <c r="A675" s="19"/>
      <c r="I675" s="47">
        <v>46155</v>
      </c>
      <c r="J675" s="39">
        <v>105.63</v>
      </c>
    </row>
    <row r="676" spans="1:10">
      <c r="A676" s="19"/>
      <c r="I676" s="47">
        <v>46156</v>
      </c>
      <c r="J676" s="39">
        <v>105.72</v>
      </c>
    </row>
    <row r="677" spans="1:10">
      <c r="A677" s="19"/>
      <c r="I677" s="47">
        <v>46157</v>
      </c>
      <c r="J677" s="39">
        <v>109.26</v>
      </c>
    </row>
    <row r="678" spans="1:10">
      <c r="I678" s="47">
        <v>46160</v>
      </c>
      <c r="J678" s="39">
        <v>112.1</v>
      </c>
    </row>
    <row r="679" spans="1:10">
      <c r="I679" s="47">
        <v>46161</v>
      </c>
      <c r="J679" s="39">
        <v>111.28</v>
      </c>
    </row>
    <row r="680" spans="1:10">
      <c r="I680" s="47">
        <v>46162</v>
      </c>
      <c r="J680" s="39">
        <v>105.02</v>
      </c>
    </row>
    <row r="681" spans="1:10">
      <c r="I681" s="47">
        <v>46163</v>
      </c>
      <c r="J681" s="39">
        <v>102.58</v>
      </c>
    </row>
    <row r="682" spans="1:10">
      <c r="I682" s="47">
        <v>46164</v>
      </c>
      <c r="J682" s="39">
        <v>103.54</v>
      </c>
    </row>
    <row r="683" spans="1:10">
      <c r="I683" s="47">
        <v>46167</v>
      </c>
      <c r="J683" s="39">
        <v>96.14</v>
      </c>
    </row>
    <row r="684" spans="1:10">
      <c r="I684" s="47">
        <v>46168</v>
      </c>
      <c r="J684" s="39">
        <v>99.58</v>
      </c>
    </row>
    <row r="685" spans="1:10">
      <c r="I685" s="47">
        <v>46169</v>
      </c>
      <c r="J685" s="39">
        <v>94.29</v>
      </c>
    </row>
    <row r="686" spans="1:10">
      <c r="I686" s="47">
        <v>46170</v>
      </c>
      <c r="J686" s="39">
        <v>93.71</v>
      </c>
    </row>
    <row r="687" spans="1:10">
      <c r="I687" s="47">
        <v>46171</v>
      </c>
      <c r="J687" s="39">
        <v>92.05</v>
      </c>
    </row>
    <row r="688" spans="1:10">
      <c r="I688" s="47"/>
    </row>
    <row r="689" spans="9:9">
      <c r="I689" s="47"/>
    </row>
    <row r="690" spans="9:9">
      <c r="I690" s="47"/>
    </row>
    <row r="691" spans="9:9">
      <c r="I691" s="47"/>
    </row>
    <row r="692" spans="9:9">
      <c r="I692" s="47"/>
    </row>
    <row r="693" spans="9:9">
      <c r="I693" s="47"/>
    </row>
    <row r="694" spans="9:9">
      <c r="I694" s="47"/>
    </row>
    <row r="695" spans="9:9">
      <c r="I695" s="47"/>
    </row>
    <row r="696" spans="9:9">
      <c r="I696" s="47"/>
    </row>
    <row r="697" spans="9:9">
      <c r="I697" s="47"/>
    </row>
    <row r="698" spans="9:9">
      <c r="I698" s="47"/>
    </row>
    <row r="699" spans="9:9">
      <c r="I699" s="47"/>
    </row>
    <row r="700" spans="9:9">
      <c r="I700" s="47"/>
    </row>
    <row r="701" spans="9:9">
      <c r="I701" s="47"/>
    </row>
    <row r="702" spans="9:9">
      <c r="I702" s="47"/>
    </row>
    <row r="703" spans="9:9">
      <c r="I703" s="47"/>
    </row>
    <row r="704" spans="9:9">
      <c r="I704" s="47"/>
    </row>
    <row r="705" spans="9:9">
      <c r="I705" s="47"/>
    </row>
    <row r="706" spans="9:9">
      <c r="I706" s="47"/>
    </row>
  </sheetData>
  <sortState ref="E516:F543">
    <sortCondition ref="E516:E543"/>
  </sortState>
  <pageMargins left="0.7" right="0.7" top="0.75" bottom="0.75" header="0.3" footer="0.3"/>
  <pageSetup paperSize="9" orientation="portrait" r:id="rId1"/>
  <headerFooter>
    <oddHeader>&amp;L&amp;"Calibri"&amp;10&amp;K000000 Interno&amp;1#_x000D_</oddHeader>
    <oddFooter>&amp;L_x000D_&amp;1#&amp;"Calibri"&amp;10&amp;K000000 Interno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I51"/>
  <sheetViews>
    <sheetView workbookViewId="0">
      <pane xSplit="3" ySplit="1" topLeftCell="D2" activePane="bottomRight" state="frozen"/>
      <selection pane="topRight" activeCell="E1" sqref="E1"/>
      <selection pane="bottomLeft" activeCell="A2" sqref="A2"/>
      <selection pane="bottomRight" activeCell="K2" sqref="K2"/>
    </sheetView>
  </sheetViews>
  <sheetFormatPr defaultRowHeight="14.25"/>
  <cols>
    <col min="1" max="1" width="23.625" bestFit="1" customWidth="1"/>
    <col min="2" max="2" width="10.625" bestFit="1" customWidth="1"/>
    <col min="3" max="3" width="51.875" bestFit="1" customWidth="1"/>
    <col min="4" max="6" width="10.125" customWidth="1"/>
    <col min="7" max="7" width="10.375" customWidth="1"/>
    <col min="8" max="9" width="10" customWidth="1"/>
  </cols>
  <sheetData>
    <row r="1" spans="1:9" ht="15">
      <c r="A1" s="7"/>
      <c r="B1" s="7" t="s">
        <v>0</v>
      </c>
      <c r="C1" s="7" t="s">
        <v>1</v>
      </c>
      <c r="D1" s="84">
        <v>45992</v>
      </c>
      <c r="E1" s="84">
        <v>46023</v>
      </c>
      <c r="F1" s="84">
        <v>46054</v>
      </c>
      <c r="G1" s="84">
        <v>46082</v>
      </c>
      <c r="H1" s="84">
        <v>46113</v>
      </c>
      <c r="I1" s="84">
        <v>46143</v>
      </c>
    </row>
    <row r="2" spans="1:9" ht="15">
      <c r="A2" t="s">
        <v>2</v>
      </c>
      <c r="B2" s="7"/>
      <c r="C2" s="7" t="s">
        <v>3</v>
      </c>
      <c r="D2" s="3"/>
      <c r="E2" s="3"/>
      <c r="F2" s="3"/>
      <c r="G2" s="3"/>
    </row>
    <row r="3" spans="1:9">
      <c r="A3" t="s">
        <v>4</v>
      </c>
      <c r="B3" t="s">
        <v>89</v>
      </c>
      <c r="C3" t="s">
        <v>90</v>
      </c>
      <c r="D3" s="3">
        <v>2728000</v>
      </c>
      <c r="E3" s="3">
        <v>1488000</v>
      </c>
      <c r="F3" s="3">
        <v>1344000</v>
      </c>
      <c r="G3" s="3">
        <v>1488000</v>
      </c>
      <c r="H3" s="3">
        <v>1440000</v>
      </c>
      <c r="I3" s="3">
        <v>1488000</v>
      </c>
    </row>
    <row r="4" spans="1:9">
      <c r="A4" t="s">
        <v>51</v>
      </c>
      <c r="B4" t="s">
        <v>91</v>
      </c>
      <c r="C4" t="s">
        <v>92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</row>
    <row r="5" spans="1:9">
      <c r="A5" t="s">
        <v>93</v>
      </c>
      <c r="B5" t="s">
        <v>94</v>
      </c>
      <c r="C5" t="s">
        <v>95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</row>
    <row r="6" spans="1:9">
      <c r="D6" s="3"/>
      <c r="E6" s="3"/>
      <c r="F6" s="3"/>
      <c r="G6" s="3"/>
    </row>
    <row r="7" spans="1:9">
      <c r="D7" s="3"/>
      <c r="E7" s="3"/>
      <c r="F7" s="3"/>
      <c r="G7" s="3"/>
    </row>
    <row r="8" spans="1:9" ht="15">
      <c r="A8" t="s">
        <v>2</v>
      </c>
      <c r="B8" s="7"/>
      <c r="C8" s="7" t="s">
        <v>34</v>
      </c>
      <c r="D8" s="3"/>
      <c r="E8" s="3"/>
      <c r="F8" s="3"/>
      <c r="G8" s="3"/>
    </row>
    <row r="9" spans="1:9">
      <c r="A9" t="s">
        <v>4</v>
      </c>
      <c r="B9" t="s">
        <v>89</v>
      </c>
      <c r="C9" t="s">
        <v>96</v>
      </c>
      <c r="D9" s="3">
        <v>5854723</v>
      </c>
      <c r="E9" s="3">
        <v>0</v>
      </c>
      <c r="F9" s="3">
        <v>0</v>
      </c>
      <c r="G9" s="3">
        <v>0</v>
      </c>
      <c r="H9" s="3">
        <v>0</v>
      </c>
      <c r="I9" s="3">
        <v>0</v>
      </c>
    </row>
    <row r="10" spans="1:9">
      <c r="A10" t="s">
        <v>44</v>
      </c>
      <c r="B10" t="s">
        <v>97</v>
      </c>
      <c r="C10" t="s">
        <v>98</v>
      </c>
      <c r="D10" s="3">
        <v>2479162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</row>
    <row r="11" spans="1:9">
      <c r="A11" t="s">
        <v>51</v>
      </c>
      <c r="B11" t="s">
        <v>99</v>
      </c>
      <c r="C11" t="s">
        <v>100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</row>
    <row r="12" spans="1:9">
      <c r="A12" t="s">
        <v>51</v>
      </c>
      <c r="B12" t="s">
        <v>101</v>
      </c>
      <c r="C12" t="s">
        <v>102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</row>
    <row r="13" spans="1:9">
      <c r="D13" s="3"/>
      <c r="E13" s="3"/>
      <c r="F13" s="3"/>
      <c r="G13" s="3"/>
    </row>
    <row r="14" spans="1:9" ht="15">
      <c r="A14" t="s">
        <v>2</v>
      </c>
      <c r="B14" s="7"/>
      <c r="C14" s="7" t="s">
        <v>103</v>
      </c>
      <c r="D14" s="3"/>
      <c r="E14" s="3"/>
      <c r="F14" s="3"/>
      <c r="G14" s="3"/>
    </row>
    <row r="15" spans="1:9">
      <c r="A15" t="s">
        <v>4</v>
      </c>
      <c r="B15" t="s">
        <v>89</v>
      </c>
      <c r="C15" t="s">
        <v>104</v>
      </c>
      <c r="D15" s="3">
        <v>8797800</v>
      </c>
      <c r="E15" s="3">
        <v>5473800</v>
      </c>
      <c r="F15" s="3">
        <v>4234700</v>
      </c>
      <c r="G15" s="3">
        <v>4854401</v>
      </c>
      <c r="H15" s="3">
        <v>13463910</v>
      </c>
      <c r="I15" s="3">
        <v>12575270</v>
      </c>
    </row>
    <row r="16" spans="1:9">
      <c r="A16" t="s">
        <v>44</v>
      </c>
      <c r="B16" t="s">
        <v>97</v>
      </c>
      <c r="C16" t="s">
        <v>105</v>
      </c>
      <c r="D16" s="3">
        <v>1215200</v>
      </c>
      <c r="E16" s="3">
        <v>19200</v>
      </c>
      <c r="F16" s="3">
        <v>1786300</v>
      </c>
      <c r="G16" s="3">
        <v>2090900</v>
      </c>
      <c r="H16" s="3">
        <v>0</v>
      </c>
      <c r="I16" s="3">
        <v>0</v>
      </c>
    </row>
    <row r="17" spans="1:9">
      <c r="A17" t="s">
        <v>106</v>
      </c>
      <c r="B17" t="s">
        <v>107</v>
      </c>
      <c r="C17" t="s">
        <v>108</v>
      </c>
      <c r="D17" s="3">
        <v>0</v>
      </c>
      <c r="E17" s="3">
        <v>0</v>
      </c>
      <c r="F17" s="3">
        <v>501000</v>
      </c>
      <c r="G17" s="3">
        <v>876799</v>
      </c>
      <c r="H17" s="3">
        <v>2333180</v>
      </c>
      <c r="I17" s="3">
        <v>5263238</v>
      </c>
    </row>
    <row r="18" spans="1:9">
      <c r="A18" t="s">
        <v>51</v>
      </c>
      <c r="B18" t="s">
        <v>99</v>
      </c>
      <c r="C18" t="s">
        <v>109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</row>
    <row r="19" spans="1:9">
      <c r="A19" t="s">
        <v>51</v>
      </c>
      <c r="B19" t="s">
        <v>101</v>
      </c>
      <c r="C19" t="s">
        <v>110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</row>
    <row r="20" spans="1:9">
      <c r="D20" s="3"/>
      <c r="E20" s="3"/>
      <c r="F20" s="3"/>
      <c r="G20" s="3"/>
    </row>
    <row r="21" spans="1:9" ht="15">
      <c r="A21" t="s">
        <v>2</v>
      </c>
      <c r="B21" s="7"/>
      <c r="C21" s="7" t="s">
        <v>68</v>
      </c>
      <c r="D21" s="3"/>
      <c r="E21" s="3"/>
      <c r="F21" s="3"/>
      <c r="G21" s="3"/>
    </row>
    <row r="22" spans="1:9">
      <c r="A22" t="s">
        <v>4</v>
      </c>
      <c r="B22" t="s">
        <v>89</v>
      </c>
      <c r="C22" t="s">
        <v>111</v>
      </c>
      <c r="D22" s="3">
        <v>1259770</v>
      </c>
      <c r="E22" s="3">
        <v>3148723</v>
      </c>
      <c r="F22" s="3">
        <v>3220798</v>
      </c>
      <c r="G22" s="3">
        <v>4353384</v>
      </c>
      <c r="H22" s="3">
        <v>0</v>
      </c>
      <c r="I22" s="3">
        <v>0</v>
      </c>
    </row>
    <row r="23" spans="1:9">
      <c r="A23" t="s">
        <v>44</v>
      </c>
      <c r="B23" t="s">
        <v>97</v>
      </c>
      <c r="C23" t="s">
        <v>112</v>
      </c>
      <c r="D23" s="3">
        <v>232648</v>
      </c>
      <c r="E23" s="3">
        <v>1741540</v>
      </c>
      <c r="F23" s="3">
        <v>1179988</v>
      </c>
      <c r="G23" s="3">
        <v>1320600</v>
      </c>
      <c r="H23" s="3">
        <v>0</v>
      </c>
      <c r="I23" s="3">
        <v>0</v>
      </c>
    </row>
    <row r="24" spans="1:9">
      <c r="A24" t="s">
        <v>106</v>
      </c>
      <c r="B24" t="s">
        <v>107</v>
      </c>
      <c r="C24" t="s">
        <v>113</v>
      </c>
      <c r="D24" s="3">
        <v>0</v>
      </c>
      <c r="E24" s="3">
        <v>0</v>
      </c>
      <c r="F24" s="3">
        <v>918221</v>
      </c>
      <c r="G24" s="3">
        <v>1300957</v>
      </c>
      <c r="H24" s="3">
        <v>0</v>
      </c>
      <c r="I24" s="3">
        <v>0</v>
      </c>
    </row>
    <row r="25" spans="1:9">
      <c r="A25" t="s">
        <v>51</v>
      </c>
      <c r="B25" t="s">
        <v>99</v>
      </c>
      <c r="C25" t="s">
        <v>114</v>
      </c>
      <c r="D25" s="3">
        <v>0</v>
      </c>
      <c r="E25" s="3">
        <v>49665</v>
      </c>
      <c r="F25" s="3">
        <v>61278</v>
      </c>
      <c r="G25" s="3">
        <v>70153</v>
      </c>
      <c r="H25" s="3">
        <v>0</v>
      </c>
      <c r="I25" s="3">
        <v>0</v>
      </c>
    </row>
    <row r="26" spans="1:9">
      <c r="A26" t="s">
        <v>51</v>
      </c>
      <c r="B26" t="s">
        <v>101</v>
      </c>
      <c r="C26" t="s">
        <v>115</v>
      </c>
      <c r="D26" s="3">
        <v>0</v>
      </c>
      <c r="E26" s="3">
        <v>20909</v>
      </c>
      <c r="F26" s="3">
        <v>95941</v>
      </c>
      <c r="G26" s="3">
        <v>130648</v>
      </c>
      <c r="H26" s="3">
        <v>0</v>
      </c>
      <c r="I26" s="3">
        <v>0</v>
      </c>
    </row>
    <row r="27" spans="1:9">
      <c r="D27" s="3"/>
      <c r="E27" s="3"/>
      <c r="F27" s="3"/>
      <c r="G27" s="3"/>
    </row>
    <row r="28" spans="1:9" ht="15">
      <c r="A28" t="s">
        <v>2</v>
      </c>
      <c r="B28" s="7"/>
      <c r="C28" s="63" t="s">
        <v>74</v>
      </c>
      <c r="D28" s="3"/>
      <c r="E28" s="3"/>
      <c r="F28" s="3"/>
      <c r="G28" s="3"/>
    </row>
    <row r="29" spans="1:9">
      <c r="A29" t="s">
        <v>4</v>
      </c>
      <c r="B29" t="s">
        <v>89</v>
      </c>
      <c r="C29" t="s">
        <v>116</v>
      </c>
      <c r="D29" s="3">
        <v>0</v>
      </c>
      <c r="E29" s="3">
        <v>1377000</v>
      </c>
      <c r="F29" s="3">
        <v>1134000</v>
      </c>
      <c r="G29" s="3">
        <v>1255499</v>
      </c>
      <c r="H29" s="3">
        <v>0</v>
      </c>
      <c r="I29" s="3">
        <v>0</v>
      </c>
    </row>
    <row r="30" spans="1:9">
      <c r="A30" t="s">
        <v>106</v>
      </c>
      <c r="B30" t="s">
        <v>107</v>
      </c>
      <c r="C30" t="s">
        <v>117</v>
      </c>
      <c r="D30" s="3">
        <v>0</v>
      </c>
      <c r="E30" s="3">
        <v>0</v>
      </c>
      <c r="F30" s="3">
        <v>126000</v>
      </c>
      <c r="G30" s="3">
        <v>180001</v>
      </c>
      <c r="H30" s="3">
        <v>0</v>
      </c>
      <c r="I30" s="3">
        <v>0</v>
      </c>
    </row>
    <row r="31" spans="1:9">
      <c r="A31" t="s">
        <v>51</v>
      </c>
      <c r="B31" t="s">
        <v>99</v>
      </c>
      <c r="C31" t="s">
        <v>118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</row>
    <row r="32" spans="1:9">
      <c r="A32" t="s">
        <v>51</v>
      </c>
      <c r="B32" t="s">
        <v>101</v>
      </c>
      <c r="C32" t="s">
        <v>119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</row>
    <row r="33" spans="1:9">
      <c r="D33" s="3"/>
      <c r="E33" s="3"/>
      <c r="F33" s="3"/>
      <c r="G33" s="3"/>
    </row>
    <row r="34" spans="1:9" ht="15">
      <c r="A34" t="s">
        <v>2</v>
      </c>
      <c r="B34" s="7"/>
      <c r="C34" s="7" t="s">
        <v>79</v>
      </c>
      <c r="D34" s="3"/>
      <c r="E34" s="3"/>
      <c r="F34" s="3"/>
      <c r="G34" s="3"/>
    </row>
    <row r="35" spans="1:9">
      <c r="A35" t="s">
        <v>4</v>
      </c>
      <c r="B35" t="s">
        <v>89</v>
      </c>
      <c r="C35" t="s">
        <v>120</v>
      </c>
      <c r="D35" s="3">
        <v>393328</v>
      </c>
      <c r="E35" s="3">
        <v>460827</v>
      </c>
      <c r="F35" s="3">
        <v>422556</v>
      </c>
      <c r="G35" s="3">
        <v>462690</v>
      </c>
      <c r="H35" s="3">
        <v>418566</v>
      </c>
      <c r="I35" s="3">
        <v>462378</v>
      </c>
    </row>
    <row r="36" spans="1:9">
      <c r="A36" t="s">
        <v>51</v>
      </c>
      <c r="B36" t="s">
        <v>91</v>
      </c>
      <c r="C36" t="s">
        <v>121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</row>
    <row r="37" spans="1:9">
      <c r="D37" s="3"/>
      <c r="E37" s="3"/>
      <c r="F37" s="3"/>
      <c r="G37" s="3"/>
    </row>
    <row r="38" spans="1:9" ht="15">
      <c r="A38" t="s">
        <v>2</v>
      </c>
      <c r="B38" s="7"/>
      <c r="C38" s="7" t="s">
        <v>88</v>
      </c>
      <c r="D38" s="3"/>
      <c r="E38" s="3"/>
      <c r="F38" s="3"/>
      <c r="G38" s="3"/>
    </row>
    <row r="39" spans="1:9">
      <c r="A39" t="s">
        <v>4</v>
      </c>
      <c r="B39" t="s">
        <v>89</v>
      </c>
      <c r="C39" t="s">
        <v>122</v>
      </c>
      <c r="D39" s="3">
        <v>52675</v>
      </c>
      <c r="E39" s="3">
        <v>183420</v>
      </c>
      <c r="F39" s="3">
        <v>266747</v>
      </c>
      <c r="G39" s="3">
        <v>274956</v>
      </c>
      <c r="H39" s="3">
        <v>257381</v>
      </c>
      <c r="I39" s="3">
        <v>263141</v>
      </c>
    </row>
    <row r="40" spans="1:9">
      <c r="A40" t="s">
        <v>51</v>
      </c>
      <c r="B40" t="s">
        <v>91</v>
      </c>
      <c r="C40" t="s">
        <v>123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</row>
    <row r="41" spans="1:9">
      <c r="D41" s="3"/>
      <c r="E41" s="3"/>
      <c r="F41" s="3"/>
      <c r="G41" s="3"/>
    </row>
    <row r="42" spans="1:9" ht="15">
      <c r="B42" s="7"/>
      <c r="C42" s="7"/>
      <c r="D42" s="3"/>
      <c r="E42" s="3"/>
      <c r="F42" s="3"/>
      <c r="G42" s="3"/>
    </row>
    <row r="43" spans="1:9">
      <c r="D43" s="3"/>
      <c r="E43" s="3"/>
      <c r="F43" s="3"/>
      <c r="G43" s="3"/>
    </row>
    <row r="44" spans="1:9">
      <c r="D44" s="3"/>
      <c r="E44" s="3"/>
      <c r="F44" s="3"/>
      <c r="G44" s="3"/>
    </row>
    <row r="45" spans="1:9">
      <c r="A45" t="s">
        <v>4</v>
      </c>
      <c r="B45" t="s">
        <v>124</v>
      </c>
      <c r="C45" t="s">
        <v>125</v>
      </c>
      <c r="D45" s="3">
        <f>SUM(D3,D9,D10,D15,D16,D22,D23,D39,D35,D43)</f>
        <v>23013306</v>
      </c>
      <c r="E45" s="3">
        <f>SUM(E3,E15,E16,E17,E22,E23,E24,E29,E30,E39,E35)</f>
        <v>13892510</v>
      </c>
      <c r="F45" s="3">
        <f>SUM(F3,F15,F16,F17,F22,F23,F24,F29,F30,F39,F35)</f>
        <v>15134310</v>
      </c>
      <c r="G45" s="3">
        <f>SUM(G3,G15,G16,G17,G22,G23,G24,G29,G30,G39,G35)</f>
        <v>18458187</v>
      </c>
      <c r="H45" s="3">
        <f>SUM(H3,H15,H16,H17,H22,H23,H24,H29,H30,H39,H35)</f>
        <v>17913037</v>
      </c>
      <c r="I45" s="3">
        <f>SUM(I3,I15,I16,I17,I22,I23,I24,I29,I30,I39,I35)</f>
        <v>20052027</v>
      </c>
    </row>
    <row r="46" spans="1:9">
      <c r="A46" t="s">
        <v>51</v>
      </c>
      <c r="B46" t="s">
        <v>126</v>
      </c>
      <c r="C46" t="s">
        <v>127</v>
      </c>
      <c r="D46" s="3">
        <f>SUM(D4,D11:D12,D18:D19,D25:D26,D40,D36)</f>
        <v>0</v>
      </c>
      <c r="E46" s="3">
        <f>SUM(E4,E18:E19,E25:E26,E31:E32,E40,E36)</f>
        <v>70574</v>
      </c>
      <c r="F46" s="3">
        <f>SUM(F4,F18:F19,F25:F26,F31:F32,F40,F36)</f>
        <v>157219</v>
      </c>
      <c r="G46" s="3">
        <f>SUM(G4,G18:G19,G25:G26,G31:G32,G40,G36)</f>
        <v>200801</v>
      </c>
      <c r="H46" s="3">
        <f>SUM(H4,H18:H19,H25:H26,H31:H32,H40,H36)</f>
        <v>0</v>
      </c>
      <c r="I46" s="3">
        <f>SUM(I4,I18:I19,I25:I26,I31:I32,I40,I36)</f>
        <v>0</v>
      </c>
    </row>
    <row r="47" spans="1:9">
      <c r="A47" t="s">
        <v>93</v>
      </c>
      <c r="B47" t="s">
        <v>128</v>
      </c>
      <c r="C47" t="s">
        <v>129</v>
      </c>
      <c r="D47" s="3">
        <f t="shared" ref="D47:I47" si="0">SUM(D5)</f>
        <v>0</v>
      </c>
      <c r="E47" s="3">
        <f t="shared" si="0"/>
        <v>0</v>
      </c>
      <c r="F47" s="3">
        <f t="shared" si="0"/>
        <v>0</v>
      </c>
      <c r="G47" s="3">
        <f t="shared" si="0"/>
        <v>0</v>
      </c>
      <c r="H47" s="3">
        <f t="shared" si="0"/>
        <v>0</v>
      </c>
      <c r="I47" s="3">
        <f t="shared" si="0"/>
        <v>0</v>
      </c>
    </row>
    <row r="48" spans="1:9" ht="15">
      <c r="A48" s="7" t="s">
        <v>130</v>
      </c>
      <c r="B48" s="7" t="s">
        <v>131</v>
      </c>
      <c r="C48" s="7" t="s">
        <v>132</v>
      </c>
      <c r="D48" s="35">
        <f t="shared" ref="D48:I48" si="1">SUM(D45:D47)</f>
        <v>23013306</v>
      </c>
      <c r="E48" s="35">
        <f t="shared" si="1"/>
        <v>13963084</v>
      </c>
      <c r="F48" s="35">
        <f t="shared" si="1"/>
        <v>15291529</v>
      </c>
      <c r="G48" s="35">
        <f t="shared" si="1"/>
        <v>18658988</v>
      </c>
      <c r="H48" s="35">
        <f t="shared" si="1"/>
        <v>17913037</v>
      </c>
      <c r="I48" s="35">
        <f t="shared" si="1"/>
        <v>20052027</v>
      </c>
    </row>
    <row r="51" spans="8:8">
      <c r="H51" s="3"/>
    </row>
  </sheetData>
  <pageMargins left="0.7" right="0.7" top="0.75" bottom="0.75" header="0.3" footer="0.3"/>
  <pageSetup paperSize="9" orientation="portrait" r:id="rId1"/>
  <headerFooter>
    <oddHeader>&amp;L&amp;"Calibri"&amp;10&amp;K000000 Interno&amp;1#_x000D_</oddHeader>
    <oddFooter>&amp;L_x000D_&amp;1#&amp;"Calibri"&amp;10&amp;K000000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J84"/>
  <sheetViews>
    <sheetView zoomScale="80" zoomScaleNormal="80" workbookViewId="0">
      <pane xSplit="3" ySplit="1" topLeftCell="D2" activePane="bottomRight" state="frozen"/>
      <selection pane="topRight" activeCell="E1" sqref="E1"/>
      <selection pane="bottomLeft" activeCell="A2" sqref="A2"/>
      <selection pane="bottomRight" activeCell="J38" sqref="J38"/>
    </sheetView>
  </sheetViews>
  <sheetFormatPr defaultRowHeight="14.25"/>
  <cols>
    <col min="1" max="1" width="28.625" bestFit="1" customWidth="1"/>
    <col min="2" max="2" width="10.875" bestFit="1" customWidth="1"/>
    <col min="3" max="3" width="58.875" customWidth="1"/>
    <col min="4" max="4" width="13.75" bestFit="1" customWidth="1"/>
    <col min="5" max="7" width="14" customWidth="1"/>
    <col min="8" max="9" width="13.875" bestFit="1" customWidth="1"/>
    <col min="10" max="10" width="14.875" customWidth="1"/>
  </cols>
  <sheetData>
    <row r="1" spans="1:10" s="30" customFormat="1" ht="15">
      <c r="A1" s="7"/>
      <c r="B1" s="7"/>
      <c r="C1" s="7"/>
      <c r="D1" s="84">
        <v>45992</v>
      </c>
      <c r="E1" s="84">
        <v>46023</v>
      </c>
      <c r="F1" s="84">
        <v>46054</v>
      </c>
      <c r="G1" s="84">
        <v>46082</v>
      </c>
      <c r="H1" s="84">
        <v>46113</v>
      </c>
      <c r="I1" s="84">
        <v>46143</v>
      </c>
      <c r="J1" s="7"/>
    </row>
    <row r="2" spans="1:10">
      <c r="A2" t="s">
        <v>133</v>
      </c>
      <c r="B2" t="s">
        <v>25</v>
      </c>
      <c r="C2" t="s">
        <v>26</v>
      </c>
      <c r="D2" s="20">
        <f>'Preço Gás Adquirido'!D13</f>
        <v>2.0126999999999997</v>
      </c>
      <c r="E2" s="20">
        <f>'Preço Gás Adquirido'!E13</f>
        <v>2.0150275201612904</v>
      </c>
      <c r="F2" s="20">
        <f>'Preço Gás Adquirido'!F13</f>
        <v>1.8699218973214291</v>
      </c>
      <c r="G2" s="20">
        <f>'Preço Gás Adquirido'!G13</f>
        <v>1.8675261021505378</v>
      </c>
      <c r="H2" s="20">
        <f>'Preço Gás Adquirido'!H13</f>
        <v>1.8803037013888892</v>
      </c>
      <c r="I2" s="20">
        <f>'Preço Gás Adquirido'!I13</f>
        <v>2.2252988978494628</v>
      </c>
    </row>
    <row r="3" spans="1:10">
      <c r="A3" t="s">
        <v>133</v>
      </c>
      <c r="B3" t="s">
        <v>89</v>
      </c>
      <c r="C3" t="s">
        <v>90</v>
      </c>
      <c r="D3" s="11">
        <f>'Volume Gás Adquirido'!D3</f>
        <v>2728000</v>
      </c>
      <c r="E3" s="11">
        <f>'Volume Gás Adquirido'!E3</f>
        <v>1488000</v>
      </c>
      <c r="F3" s="11">
        <f>'Volume Gás Adquirido'!F3</f>
        <v>1344000</v>
      </c>
      <c r="G3" s="11">
        <f>'Volume Gás Adquirido'!G3</f>
        <v>1488000</v>
      </c>
      <c r="H3" s="11">
        <f>'Volume Gás Adquirido'!H3</f>
        <v>1440000</v>
      </c>
      <c r="I3" s="11">
        <f>'Volume Gás Adquirido'!I3</f>
        <v>1488000</v>
      </c>
    </row>
    <row r="4" spans="1:10" s="7" customFormat="1" ht="15">
      <c r="A4" s="7" t="s">
        <v>133</v>
      </c>
      <c r="B4" s="7" t="s">
        <v>134</v>
      </c>
      <c r="C4" s="7" t="s">
        <v>135</v>
      </c>
      <c r="D4" s="18">
        <f t="shared" ref="D4:I4" si="0">D2*D3</f>
        <v>5490645.5999999996</v>
      </c>
      <c r="E4" s="18">
        <f t="shared" si="0"/>
        <v>2998360.95</v>
      </c>
      <c r="F4" s="18">
        <f t="shared" si="0"/>
        <v>2513175.0300000007</v>
      </c>
      <c r="G4" s="18">
        <f t="shared" si="0"/>
        <v>2778878.8400000003</v>
      </c>
      <c r="H4" s="18">
        <f t="shared" si="0"/>
        <v>2707637.3300000005</v>
      </c>
      <c r="I4" s="18">
        <f t="shared" si="0"/>
        <v>3311244.7600000007</v>
      </c>
      <c r="J4" s="18"/>
    </row>
    <row r="5" spans="1:10">
      <c r="A5" t="s">
        <v>133</v>
      </c>
      <c r="B5" t="s">
        <v>25</v>
      </c>
      <c r="C5" t="s">
        <v>43</v>
      </c>
      <c r="D5" s="20">
        <f>'Preço Gás Adquirido'!D28</f>
        <v>2.0419</v>
      </c>
      <c r="E5" s="20">
        <f>'Preço Gás Adquirido'!E28</f>
        <v>0</v>
      </c>
      <c r="F5" s="20">
        <f>'Preço Gás Adquirido'!F28</f>
        <v>0</v>
      </c>
      <c r="G5" s="20">
        <f>'Preço Gás Adquirido'!G28</f>
        <v>0</v>
      </c>
      <c r="H5" s="20">
        <f>'Preço Gás Adquirido'!H28</f>
        <v>0</v>
      </c>
      <c r="I5" s="20">
        <f>'Preço Gás Adquirido'!I28</f>
        <v>0</v>
      </c>
    </row>
    <row r="6" spans="1:10">
      <c r="A6" t="s">
        <v>133</v>
      </c>
      <c r="B6" t="s">
        <v>89</v>
      </c>
      <c r="C6" t="s">
        <v>96</v>
      </c>
      <c r="D6" s="11">
        <f>'Volume Gás Adquirido'!D9</f>
        <v>5854723</v>
      </c>
      <c r="E6" s="11">
        <f>'Volume Gás Adquirido'!E9</f>
        <v>0</v>
      </c>
      <c r="F6" s="11">
        <f>'Volume Gás Adquirido'!F9</f>
        <v>0</v>
      </c>
      <c r="G6" s="11">
        <f>'Volume Gás Adquirido'!G9</f>
        <v>0</v>
      </c>
      <c r="H6" s="11">
        <f>'Volume Gás Adquirido'!H9</f>
        <v>0</v>
      </c>
      <c r="I6" s="11">
        <f>'Volume Gás Adquirido'!I9</f>
        <v>0</v>
      </c>
    </row>
    <row r="7" spans="1:10" s="7" customFormat="1" ht="15">
      <c r="A7" s="7" t="s">
        <v>133</v>
      </c>
      <c r="B7" s="7" t="s">
        <v>134</v>
      </c>
      <c r="C7" s="7" t="s">
        <v>136</v>
      </c>
      <c r="D7" s="18">
        <f t="shared" ref="D7:I7" si="1">D5*D6</f>
        <v>11954758.8937</v>
      </c>
      <c r="E7" s="18">
        <f t="shared" si="1"/>
        <v>0</v>
      </c>
      <c r="F7" s="18">
        <f t="shared" si="1"/>
        <v>0</v>
      </c>
      <c r="G7" s="18">
        <f t="shared" si="1"/>
        <v>0</v>
      </c>
      <c r="H7" s="18">
        <f t="shared" si="1"/>
        <v>0</v>
      </c>
      <c r="I7" s="18">
        <f t="shared" si="1"/>
        <v>0</v>
      </c>
    </row>
    <row r="8" spans="1:10" s="7" customFormat="1" ht="15">
      <c r="A8" t="s">
        <v>137</v>
      </c>
      <c r="B8" s="31" t="s">
        <v>49</v>
      </c>
      <c r="C8" t="s">
        <v>50</v>
      </c>
      <c r="D8" s="20">
        <f>'Preço Gás Adquirido'!D31</f>
        <v>1.9576000000000002</v>
      </c>
      <c r="E8" s="20">
        <f>'Preço Gás Adquirido'!E31</f>
        <v>0</v>
      </c>
      <c r="F8" s="20">
        <f>'Preço Gás Adquirido'!F31</f>
        <v>0</v>
      </c>
      <c r="G8" s="20">
        <f>'Preço Gás Adquirido'!G31</f>
        <v>0</v>
      </c>
      <c r="H8" s="20">
        <f>'Preço Gás Adquirido'!H31</f>
        <v>0</v>
      </c>
      <c r="I8" s="20">
        <f>'Preço Gás Adquirido'!I31</f>
        <v>0</v>
      </c>
    </row>
    <row r="9" spans="1:10" s="7" customFormat="1" ht="15">
      <c r="A9" t="s">
        <v>137</v>
      </c>
      <c r="B9" s="31" t="s">
        <v>97</v>
      </c>
      <c r="C9" t="s">
        <v>138</v>
      </c>
      <c r="D9" s="11">
        <f>'Volume Gás Adquirido'!D10</f>
        <v>2479162</v>
      </c>
      <c r="E9" s="11">
        <f>'Volume Gás Adquirido'!E10</f>
        <v>0</v>
      </c>
      <c r="F9" s="11">
        <f>'Volume Gás Adquirido'!F10</f>
        <v>0</v>
      </c>
      <c r="G9" s="11">
        <f>'Volume Gás Adquirido'!G10</f>
        <v>0</v>
      </c>
      <c r="H9" s="11">
        <f>'Volume Gás Adquirido'!H10</f>
        <v>0</v>
      </c>
      <c r="I9" s="11">
        <f>'Volume Gás Adquirido'!I10</f>
        <v>0</v>
      </c>
    </row>
    <row r="10" spans="1:10" s="7" customFormat="1" ht="15">
      <c r="A10" s="7" t="s">
        <v>137</v>
      </c>
      <c r="B10" s="7" t="s">
        <v>139</v>
      </c>
      <c r="C10" s="7" t="s">
        <v>140</v>
      </c>
      <c r="D10" s="18">
        <f t="shared" ref="D10:I10" si="2">D9*D8</f>
        <v>4853207.531200001</v>
      </c>
      <c r="E10" s="18">
        <f t="shared" si="2"/>
        <v>0</v>
      </c>
      <c r="F10" s="18">
        <f t="shared" si="2"/>
        <v>0</v>
      </c>
      <c r="G10" s="18">
        <f t="shared" si="2"/>
        <v>0</v>
      </c>
      <c r="H10" s="18">
        <f t="shared" si="2"/>
        <v>0</v>
      </c>
      <c r="I10" s="18">
        <f t="shared" si="2"/>
        <v>0</v>
      </c>
    </row>
    <row r="11" spans="1:10">
      <c r="A11" t="s">
        <v>133</v>
      </c>
      <c r="B11" t="s">
        <v>25</v>
      </c>
      <c r="C11" t="s">
        <v>57</v>
      </c>
      <c r="D11" s="20">
        <f>'Preço Gás Adquirido'!D46</f>
        <v>1.9613</v>
      </c>
      <c r="E11" s="20">
        <f>'Preço Gás Adquirido'!E46</f>
        <v>1.9609000000000001</v>
      </c>
      <c r="F11" s="20">
        <f>'Preço Gás Adquirido'!F46</f>
        <v>1.8229</v>
      </c>
      <c r="G11" s="20">
        <f>'Preço Gás Adquirido'!G46</f>
        <v>1.8229</v>
      </c>
      <c r="H11" s="20">
        <f>'Preço Gás Adquirido'!H46</f>
        <v>1.7882</v>
      </c>
      <c r="I11" s="20">
        <f>'Preço Gás Adquirido'!I46</f>
        <v>2.0998999999999999</v>
      </c>
    </row>
    <row r="12" spans="1:10">
      <c r="A12" t="s">
        <v>133</v>
      </c>
      <c r="B12" t="s">
        <v>89</v>
      </c>
      <c r="C12" t="s">
        <v>104</v>
      </c>
      <c r="D12" s="11">
        <f>'Volume Gás Adquirido'!D15</f>
        <v>8797800</v>
      </c>
      <c r="E12" s="11">
        <f>'Volume Gás Adquirido'!E15</f>
        <v>5473800</v>
      </c>
      <c r="F12" s="11">
        <f>'Volume Gás Adquirido'!F15</f>
        <v>4234700</v>
      </c>
      <c r="G12" s="11">
        <f>'Volume Gás Adquirido'!G15</f>
        <v>4854401</v>
      </c>
      <c r="H12" s="11">
        <f>'Volume Gás Adquirido'!H15</f>
        <v>13463910</v>
      </c>
      <c r="I12" s="11">
        <f>'Volume Gás Adquirido'!I15</f>
        <v>12575270</v>
      </c>
    </row>
    <row r="13" spans="1:10" s="7" customFormat="1" ht="15">
      <c r="A13" s="7" t="s">
        <v>133</v>
      </c>
      <c r="B13" s="7" t="s">
        <v>134</v>
      </c>
      <c r="C13" s="7" t="s">
        <v>141</v>
      </c>
      <c r="D13" s="18">
        <f t="shared" ref="D13:I13" si="3">D11*D12</f>
        <v>17255125.140000001</v>
      </c>
      <c r="E13" s="18">
        <f t="shared" si="3"/>
        <v>10733574.42</v>
      </c>
      <c r="F13" s="18">
        <f t="shared" si="3"/>
        <v>7719434.6299999999</v>
      </c>
      <c r="G13" s="18">
        <f t="shared" si="3"/>
        <v>8849087.5829000007</v>
      </c>
      <c r="H13" s="18">
        <f t="shared" si="3"/>
        <v>24076163.862</v>
      </c>
      <c r="I13" s="18">
        <f t="shared" si="3"/>
        <v>26406809.472999997</v>
      </c>
    </row>
    <row r="14" spans="1:10" s="7" customFormat="1" ht="15">
      <c r="A14" t="s">
        <v>137</v>
      </c>
      <c r="B14" s="31" t="s">
        <v>49</v>
      </c>
      <c r="C14" t="s">
        <v>58</v>
      </c>
      <c r="D14" s="20">
        <f>'Preço Gás Adquirido'!D49</f>
        <v>1.8366</v>
      </c>
      <c r="E14" s="20">
        <f>'Preço Gás Adquirido'!E49</f>
        <v>1.8362000000000001</v>
      </c>
      <c r="F14" s="20">
        <f>'Preço Gás Adquirido'!F49</f>
        <v>1.7087000000000001</v>
      </c>
      <c r="G14" s="20">
        <f>'Preço Gás Adquirido'!G49</f>
        <v>1.7087000000000001</v>
      </c>
      <c r="H14" s="20">
        <f>'Preço Gás Adquirido'!H49</f>
        <v>0</v>
      </c>
      <c r="I14" s="20">
        <f>'Preço Gás Adquirido'!I49</f>
        <v>0</v>
      </c>
    </row>
    <row r="15" spans="1:10" s="7" customFormat="1" ht="15">
      <c r="A15" t="s">
        <v>137</v>
      </c>
      <c r="B15" s="31" t="s">
        <v>97</v>
      </c>
      <c r="C15" t="s">
        <v>142</v>
      </c>
      <c r="D15" s="11">
        <f>'Volume Gás Adquirido'!D16</f>
        <v>1215200</v>
      </c>
      <c r="E15" s="11">
        <f>'Volume Gás Adquirido'!E16</f>
        <v>19200</v>
      </c>
      <c r="F15" s="11">
        <f>'Volume Gás Adquirido'!F16</f>
        <v>1786300</v>
      </c>
      <c r="G15" s="11">
        <f>'Volume Gás Adquirido'!G16</f>
        <v>2090900</v>
      </c>
      <c r="H15" s="11">
        <f>'Volume Gás Adquirido'!H16</f>
        <v>0</v>
      </c>
      <c r="I15" s="11">
        <f>'Volume Gás Adquirido'!I16</f>
        <v>0</v>
      </c>
    </row>
    <row r="16" spans="1:10" s="7" customFormat="1" ht="15">
      <c r="A16" s="7" t="s">
        <v>137</v>
      </c>
      <c r="B16" s="7" t="s">
        <v>139</v>
      </c>
      <c r="C16" s="7" t="s">
        <v>143</v>
      </c>
      <c r="D16" s="18">
        <f t="shared" ref="D16:I16" si="4">D15*D14</f>
        <v>2231836.3199999998</v>
      </c>
      <c r="E16" s="18">
        <f t="shared" si="4"/>
        <v>35255.040000000001</v>
      </c>
      <c r="F16" s="18">
        <f t="shared" si="4"/>
        <v>3052250.81</v>
      </c>
      <c r="G16" s="18">
        <f t="shared" si="4"/>
        <v>3572720.83</v>
      </c>
      <c r="H16" s="18">
        <f t="shared" si="4"/>
        <v>0</v>
      </c>
      <c r="I16" s="18">
        <f t="shared" si="4"/>
        <v>0</v>
      </c>
    </row>
    <row r="17" spans="1:9" s="7" customFormat="1" ht="15">
      <c r="A17" t="s">
        <v>144</v>
      </c>
      <c r="B17" s="31" t="s">
        <v>64</v>
      </c>
      <c r="C17" t="s">
        <v>65</v>
      </c>
      <c r="D17" s="20">
        <f>'Preço Gás Adquirido'!D52</f>
        <v>0</v>
      </c>
      <c r="E17" s="20">
        <f>'Preço Gás Adquirido'!E52</f>
        <v>1.6977</v>
      </c>
      <c r="F17" s="20">
        <f>'Preço Gás Adquirido'!F52</f>
        <v>1.5817000000000001</v>
      </c>
      <c r="G17" s="20">
        <f>'Preço Gás Adquirido'!G52</f>
        <v>1.5817000000000001</v>
      </c>
      <c r="H17" s="20">
        <f>'Preço Gás Adquirido'!H52</f>
        <v>1.5817000000000001</v>
      </c>
      <c r="I17" s="20">
        <f>'Preço Gás Adquirido'!I52</f>
        <v>1.8498000000000001</v>
      </c>
    </row>
    <row r="18" spans="1:9" s="7" customFormat="1" ht="15">
      <c r="A18" t="s">
        <v>144</v>
      </c>
      <c r="B18" s="31" t="s">
        <v>107</v>
      </c>
      <c r="C18" t="s">
        <v>145</v>
      </c>
      <c r="D18" s="11">
        <f>'Volume Gás Adquirido'!D17</f>
        <v>0</v>
      </c>
      <c r="E18" s="11">
        <f>'Volume Gás Adquirido'!E17</f>
        <v>0</v>
      </c>
      <c r="F18" s="11">
        <f>'Volume Gás Adquirido'!F17</f>
        <v>501000</v>
      </c>
      <c r="G18" s="11">
        <f>'Volume Gás Adquirido'!G17</f>
        <v>876799</v>
      </c>
      <c r="H18" s="11">
        <f>'Volume Gás Adquirido'!H17</f>
        <v>2333180</v>
      </c>
      <c r="I18" s="11">
        <f>'Volume Gás Adquirido'!I17</f>
        <v>5263238</v>
      </c>
    </row>
    <row r="19" spans="1:9" s="7" customFormat="1" ht="15">
      <c r="A19" s="7" t="s">
        <v>144</v>
      </c>
      <c r="B19" s="7" t="s">
        <v>146</v>
      </c>
      <c r="C19" s="7" t="s">
        <v>147</v>
      </c>
      <c r="D19" s="18">
        <f t="shared" ref="D19:I19" si="5">D18*D17</f>
        <v>0</v>
      </c>
      <c r="E19" s="18">
        <f t="shared" si="5"/>
        <v>0</v>
      </c>
      <c r="F19" s="18">
        <f t="shared" si="5"/>
        <v>792431.70000000007</v>
      </c>
      <c r="G19" s="18">
        <f t="shared" si="5"/>
        <v>1386832.9783000001</v>
      </c>
      <c r="H19" s="18">
        <f t="shared" si="5"/>
        <v>3690390.8060000003</v>
      </c>
      <c r="I19" s="18">
        <f t="shared" si="5"/>
        <v>9735937.6524</v>
      </c>
    </row>
    <row r="20" spans="1:9">
      <c r="A20" t="s">
        <v>133</v>
      </c>
      <c r="B20" t="s">
        <v>25</v>
      </c>
      <c r="C20" t="s">
        <v>148</v>
      </c>
      <c r="D20" s="20">
        <f>'Preço Gás Adquirido'!D67</f>
        <v>2.1994000000000002</v>
      </c>
      <c r="E20" s="20">
        <f>'Preço Gás Adquirido'!E67</f>
        <v>2.1994000000000002</v>
      </c>
      <c r="F20" s="20">
        <f>'Preço Gás Adquirido'!F67</f>
        <v>2.0497999999999998</v>
      </c>
      <c r="G20" s="20">
        <f>'Preço Gás Adquirido'!G67</f>
        <v>2.0497999999999998</v>
      </c>
      <c r="H20" s="20">
        <f>'Preço Gás Adquirido'!H67</f>
        <v>0</v>
      </c>
      <c r="I20" s="20">
        <f>'Preço Gás Adquirido'!I67</f>
        <v>0</v>
      </c>
    </row>
    <row r="21" spans="1:9">
      <c r="A21" t="s">
        <v>133</v>
      </c>
      <c r="B21" t="s">
        <v>89</v>
      </c>
      <c r="C21" t="s">
        <v>111</v>
      </c>
      <c r="D21" s="11">
        <f>'Volume Gás Adquirido'!D22</f>
        <v>1259770</v>
      </c>
      <c r="E21" s="11">
        <f>'Volume Gás Adquirido'!E22</f>
        <v>3148723</v>
      </c>
      <c r="F21" s="11">
        <f>'Volume Gás Adquirido'!F22</f>
        <v>3220798</v>
      </c>
      <c r="G21" s="11">
        <f>'Volume Gás Adquirido'!G22</f>
        <v>4353384</v>
      </c>
      <c r="H21" s="11">
        <f>'Volume Gás Adquirido'!H22</f>
        <v>0</v>
      </c>
      <c r="I21" s="11">
        <f>'Volume Gás Adquirido'!I22</f>
        <v>0</v>
      </c>
    </row>
    <row r="22" spans="1:9" s="7" customFormat="1" ht="15">
      <c r="A22" s="7" t="s">
        <v>133</v>
      </c>
      <c r="B22" s="7" t="s">
        <v>134</v>
      </c>
      <c r="C22" s="7" t="s">
        <v>149</v>
      </c>
      <c r="D22" s="18">
        <f t="shared" ref="D22:I22" si="6">D20*D21</f>
        <v>2770738.1380000003</v>
      </c>
      <c r="E22" s="18">
        <f t="shared" si="6"/>
        <v>6925301.366200001</v>
      </c>
      <c r="F22" s="18">
        <f t="shared" si="6"/>
        <v>6601991.7403999995</v>
      </c>
      <c r="G22" s="18">
        <f t="shared" si="6"/>
        <v>8923566.5231999997</v>
      </c>
      <c r="H22" s="18">
        <f t="shared" si="6"/>
        <v>0</v>
      </c>
      <c r="I22" s="18">
        <f t="shared" si="6"/>
        <v>0</v>
      </c>
    </row>
    <row r="23" spans="1:9" s="7" customFormat="1" ht="15">
      <c r="A23" t="s">
        <v>137</v>
      </c>
      <c r="B23" s="31" t="s">
        <v>49</v>
      </c>
      <c r="C23" t="s">
        <v>70</v>
      </c>
      <c r="D23" s="20">
        <f>'Preço Gás Adquirido'!D70</f>
        <v>1.9361000000000002</v>
      </c>
      <c r="E23" s="20">
        <f>'Preço Gás Adquirido'!E70</f>
        <v>1.9361000000000002</v>
      </c>
      <c r="F23" s="20">
        <f>'Preço Gás Adquirido'!F70</f>
        <v>1.8086000000000002</v>
      </c>
      <c r="G23" s="20">
        <f>'Preço Gás Adquirido'!G70</f>
        <v>1.8086000000000002</v>
      </c>
      <c r="H23" s="20">
        <f>'Preço Gás Adquirido'!H70</f>
        <v>0</v>
      </c>
      <c r="I23" s="20">
        <f>'Preço Gás Adquirido'!I70</f>
        <v>0</v>
      </c>
    </row>
    <row r="24" spans="1:9" s="7" customFormat="1" ht="15">
      <c r="A24" t="s">
        <v>137</v>
      </c>
      <c r="B24" s="31" t="s">
        <v>97</v>
      </c>
      <c r="C24" t="s">
        <v>150</v>
      </c>
      <c r="D24" s="11">
        <f>'Volume Gás Adquirido'!D23</f>
        <v>232648</v>
      </c>
      <c r="E24" s="11">
        <f>'Volume Gás Adquirido'!E23</f>
        <v>1741540</v>
      </c>
      <c r="F24" s="11">
        <f>'Volume Gás Adquirido'!F23</f>
        <v>1179988</v>
      </c>
      <c r="G24" s="11">
        <f>'Volume Gás Adquirido'!G23</f>
        <v>1320600</v>
      </c>
      <c r="H24" s="11">
        <f>'Volume Gás Adquirido'!H23</f>
        <v>0</v>
      </c>
      <c r="I24" s="11">
        <f>'Volume Gás Adquirido'!I23</f>
        <v>0</v>
      </c>
    </row>
    <row r="25" spans="1:9" s="7" customFormat="1" ht="15">
      <c r="A25" s="7" t="s">
        <v>137</v>
      </c>
      <c r="B25" s="7" t="s">
        <v>139</v>
      </c>
      <c r="C25" s="7" t="s">
        <v>151</v>
      </c>
      <c r="D25" s="18">
        <f t="shared" ref="D25:I25" si="7">D24*D23</f>
        <v>450429.79280000005</v>
      </c>
      <c r="E25" s="18">
        <f t="shared" si="7"/>
        <v>3371795.594</v>
      </c>
      <c r="F25" s="18">
        <f t="shared" si="7"/>
        <v>2134126.2968000001</v>
      </c>
      <c r="G25" s="18">
        <f t="shared" si="7"/>
        <v>2388437.16</v>
      </c>
      <c r="H25" s="18">
        <f t="shared" si="7"/>
        <v>0</v>
      </c>
      <c r="I25" s="18">
        <f t="shared" si="7"/>
        <v>0</v>
      </c>
    </row>
    <row r="26" spans="1:9" s="7" customFormat="1" ht="15">
      <c r="A26" t="s">
        <v>144</v>
      </c>
      <c r="B26" s="31" t="s">
        <v>64</v>
      </c>
      <c r="C26" t="s">
        <v>71</v>
      </c>
      <c r="D26" s="20">
        <f>'Preço Gás Adquirido'!D73</f>
        <v>0</v>
      </c>
      <c r="E26" s="20">
        <f>'Preço Gás Adquirido'!E73</f>
        <v>1.7976000000000001</v>
      </c>
      <c r="F26" s="20">
        <f>'Preço Gás Adquirido'!F73</f>
        <v>1.6816</v>
      </c>
      <c r="G26" s="20">
        <f>'Preço Gás Adquirido'!G73</f>
        <v>1.6816</v>
      </c>
      <c r="H26" s="20">
        <f>'Preço Gás Adquirido'!H73</f>
        <v>0</v>
      </c>
      <c r="I26" s="20">
        <f>'Preço Gás Adquirido'!I73</f>
        <v>0</v>
      </c>
    </row>
    <row r="27" spans="1:9" s="7" customFormat="1" ht="15">
      <c r="A27" t="s">
        <v>144</v>
      </c>
      <c r="B27" s="31" t="s">
        <v>107</v>
      </c>
      <c r="C27" t="s">
        <v>152</v>
      </c>
      <c r="D27" s="11">
        <f>'Volume Gás Adquirido'!D24</f>
        <v>0</v>
      </c>
      <c r="E27" s="11">
        <f>'Volume Gás Adquirido'!E24</f>
        <v>0</v>
      </c>
      <c r="F27" s="11">
        <f>'Volume Gás Adquirido'!F24</f>
        <v>918221</v>
      </c>
      <c r="G27" s="11">
        <f>'Volume Gás Adquirido'!G24</f>
        <v>1300957</v>
      </c>
      <c r="H27" s="11">
        <f>'Volume Gás Adquirido'!H24</f>
        <v>0</v>
      </c>
      <c r="I27" s="11">
        <f>'Volume Gás Adquirido'!I24</f>
        <v>0</v>
      </c>
    </row>
    <row r="28" spans="1:9" s="7" customFormat="1" ht="15">
      <c r="A28" s="7" t="s">
        <v>144</v>
      </c>
      <c r="B28" s="7" t="s">
        <v>146</v>
      </c>
      <c r="C28" s="7" t="s">
        <v>153</v>
      </c>
      <c r="D28" s="18">
        <f t="shared" ref="D28:I28" si="8">D27*D26</f>
        <v>0</v>
      </c>
      <c r="E28" s="18">
        <f t="shared" si="8"/>
        <v>0</v>
      </c>
      <c r="F28" s="18">
        <f t="shared" si="8"/>
        <v>1544080.4335999999</v>
      </c>
      <c r="G28" s="18">
        <f t="shared" si="8"/>
        <v>2187689.2911999999</v>
      </c>
      <c r="H28" s="18">
        <f t="shared" si="8"/>
        <v>0</v>
      </c>
      <c r="I28" s="18">
        <f t="shared" si="8"/>
        <v>0</v>
      </c>
    </row>
    <row r="29" spans="1:9">
      <c r="A29" t="s">
        <v>133</v>
      </c>
      <c r="B29" t="s">
        <v>25</v>
      </c>
      <c r="C29" t="s">
        <v>75</v>
      </c>
      <c r="D29" s="20">
        <f>'Preço Gás Adquirido'!D88</f>
        <v>0</v>
      </c>
      <c r="E29" s="20">
        <f>'Preço Gás Adquirido'!E88</f>
        <v>1.9332</v>
      </c>
      <c r="F29" s="20">
        <f>'Preço Gás Adquirido'!F88</f>
        <v>1.7975000000000001</v>
      </c>
      <c r="G29" s="20">
        <f>'Preço Gás Adquirido'!G88</f>
        <v>1.7975000000000001</v>
      </c>
      <c r="H29" s="20">
        <f>'Preço Gás Adquirido'!H88</f>
        <v>0</v>
      </c>
      <c r="I29" s="20">
        <f>'Preço Gás Adquirido'!I88</f>
        <v>0</v>
      </c>
    </row>
    <row r="30" spans="1:9">
      <c r="A30" t="s">
        <v>133</v>
      </c>
      <c r="B30" t="s">
        <v>89</v>
      </c>
      <c r="C30" t="s">
        <v>116</v>
      </c>
      <c r="D30" s="11">
        <f>'Volume Gás Adquirido'!D29</f>
        <v>0</v>
      </c>
      <c r="E30" s="11">
        <f>'Volume Gás Adquirido'!E29</f>
        <v>1377000</v>
      </c>
      <c r="F30" s="11">
        <f>'Volume Gás Adquirido'!F29</f>
        <v>1134000</v>
      </c>
      <c r="G30" s="11">
        <f>'Volume Gás Adquirido'!G29</f>
        <v>1255499</v>
      </c>
      <c r="H30" s="11">
        <f>'Volume Gás Adquirido'!H29</f>
        <v>0</v>
      </c>
      <c r="I30" s="11">
        <f>'Volume Gás Adquirido'!I29</f>
        <v>0</v>
      </c>
    </row>
    <row r="31" spans="1:9" s="7" customFormat="1" ht="15">
      <c r="A31" s="7" t="s">
        <v>133</v>
      </c>
      <c r="B31" s="7" t="s">
        <v>134</v>
      </c>
      <c r="C31" s="7" t="s">
        <v>154</v>
      </c>
      <c r="D31" s="18">
        <f t="shared" ref="D31:I31" si="9">D29*D30</f>
        <v>0</v>
      </c>
      <c r="E31" s="18">
        <f t="shared" si="9"/>
        <v>2662016.4</v>
      </c>
      <c r="F31" s="18">
        <f t="shared" si="9"/>
        <v>2038365</v>
      </c>
      <c r="G31" s="18">
        <f t="shared" si="9"/>
        <v>2256759.4525000001</v>
      </c>
      <c r="H31" s="18">
        <f t="shared" si="9"/>
        <v>0</v>
      </c>
      <c r="I31" s="18">
        <f t="shared" si="9"/>
        <v>0</v>
      </c>
    </row>
    <row r="32" spans="1:9" s="7" customFormat="1" ht="15">
      <c r="A32" t="s">
        <v>144</v>
      </c>
      <c r="B32" s="31" t="s">
        <v>64</v>
      </c>
      <c r="C32" t="s">
        <v>76</v>
      </c>
      <c r="D32" s="20">
        <f>'Preço Gás Adquirido'!D91</f>
        <v>0</v>
      </c>
      <c r="E32" s="20">
        <f>'Preço Gás Adquirido'!E91</f>
        <v>1.6977</v>
      </c>
      <c r="F32" s="20">
        <f>'Preço Gás Adquirido'!F91</f>
        <v>1.5817000000000001</v>
      </c>
      <c r="G32" s="20">
        <f>'Preço Gás Adquirido'!G91</f>
        <v>1.5817000000000001</v>
      </c>
      <c r="H32" s="20">
        <f>'Preço Gás Adquirido'!H91</f>
        <v>0</v>
      </c>
      <c r="I32" s="20">
        <f>'Preço Gás Adquirido'!I91</f>
        <v>0</v>
      </c>
    </row>
    <row r="33" spans="1:10" s="7" customFormat="1" ht="15">
      <c r="A33" t="s">
        <v>144</v>
      </c>
      <c r="B33" s="31" t="s">
        <v>107</v>
      </c>
      <c r="C33" t="s">
        <v>155</v>
      </c>
      <c r="D33" s="11">
        <f>'Volume Gás Adquirido'!D30</f>
        <v>0</v>
      </c>
      <c r="E33" s="11">
        <f>'Volume Gás Adquirido'!E30</f>
        <v>0</v>
      </c>
      <c r="F33" s="11">
        <f>'Volume Gás Adquirido'!F30</f>
        <v>126000</v>
      </c>
      <c r="G33" s="11">
        <f>'Volume Gás Adquirido'!G30</f>
        <v>180001</v>
      </c>
      <c r="H33" s="11">
        <f>'Volume Gás Adquirido'!H30</f>
        <v>0</v>
      </c>
      <c r="I33" s="11">
        <f>'Volume Gás Adquirido'!I30</f>
        <v>0</v>
      </c>
    </row>
    <row r="34" spans="1:10" s="7" customFormat="1" ht="15">
      <c r="A34" s="7" t="s">
        <v>144</v>
      </c>
      <c r="B34" s="7" t="s">
        <v>146</v>
      </c>
      <c r="C34" s="7" t="s">
        <v>156</v>
      </c>
      <c r="D34" s="18">
        <f t="shared" ref="D34:I34" si="10">D33*D32</f>
        <v>0</v>
      </c>
      <c r="E34" s="18">
        <f t="shared" si="10"/>
        <v>0</v>
      </c>
      <c r="F34" s="18">
        <f t="shared" si="10"/>
        <v>199294.2</v>
      </c>
      <c r="G34" s="18">
        <f t="shared" si="10"/>
        <v>284707.58170000004</v>
      </c>
      <c r="H34" s="18">
        <f t="shared" si="10"/>
        <v>0</v>
      </c>
      <c r="I34" s="18">
        <f t="shared" si="10"/>
        <v>0</v>
      </c>
    </row>
    <row r="35" spans="1:10">
      <c r="A35" t="s">
        <v>133</v>
      </c>
      <c r="B35" t="s">
        <v>25</v>
      </c>
      <c r="C35" t="s">
        <v>157</v>
      </c>
      <c r="D35" s="20">
        <f>'Preço Gás Adquirido'!D100</f>
        <v>2.48</v>
      </c>
      <c r="E35" s="20">
        <f>'Preço Gás Adquirido'!E100</f>
        <v>2.4540000000000002</v>
      </c>
      <c r="F35" s="20">
        <f>'Preço Gás Adquirido'!F100</f>
        <v>2.4540000000000002</v>
      </c>
      <c r="G35" s="20">
        <f>'Preço Gás Adquirido'!G100</f>
        <v>2.4540000000000002</v>
      </c>
      <c r="H35" s="20">
        <f>'Preço Gás Adquirido'!H100</f>
        <v>2.4540000000000002</v>
      </c>
      <c r="I35" s="20">
        <f>'Preço Gás Adquirido'!I100</f>
        <v>2.4540000000000002</v>
      </c>
    </row>
    <row r="36" spans="1:10">
      <c r="A36" t="s">
        <v>133</v>
      </c>
      <c r="B36" t="s">
        <v>89</v>
      </c>
      <c r="C36" t="s">
        <v>120</v>
      </c>
      <c r="D36" s="11">
        <f>'Volume Gás Adquirido'!D35</f>
        <v>393328</v>
      </c>
      <c r="E36" s="11">
        <f>'Volume Gás Adquirido'!E35</f>
        <v>460827</v>
      </c>
      <c r="F36" s="11">
        <f>'Volume Gás Adquirido'!F35</f>
        <v>422556</v>
      </c>
      <c r="G36" s="11">
        <f>'Volume Gás Adquirido'!G35</f>
        <v>462690</v>
      </c>
      <c r="H36" s="11">
        <f>'Volume Gás Adquirido'!H35</f>
        <v>418566</v>
      </c>
      <c r="I36" s="11">
        <f>'Volume Gás Adquirido'!I35</f>
        <v>462378</v>
      </c>
    </row>
    <row r="37" spans="1:10" s="7" customFormat="1" ht="15">
      <c r="A37" s="7" t="s">
        <v>133</v>
      </c>
      <c r="B37" s="7" t="s">
        <v>134</v>
      </c>
      <c r="C37" s="7" t="s">
        <v>158</v>
      </c>
      <c r="D37" s="18">
        <f t="shared" ref="D37:I37" si="11">D36*D35</f>
        <v>975453.44</v>
      </c>
      <c r="E37" s="18">
        <f t="shared" si="11"/>
        <v>1130869.4580000001</v>
      </c>
      <c r="F37" s="18">
        <f t="shared" si="11"/>
        <v>1036952.4240000001</v>
      </c>
      <c r="G37" s="18">
        <f t="shared" si="11"/>
        <v>1135441.26</v>
      </c>
      <c r="H37" s="18">
        <f t="shared" si="11"/>
        <v>1027160.964</v>
      </c>
      <c r="I37" s="18">
        <f t="shared" si="11"/>
        <v>1134675.6120000002</v>
      </c>
      <c r="J37" s="18"/>
    </row>
    <row r="38" spans="1:10">
      <c r="A38" t="s">
        <v>133</v>
      </c>
      <c r="B38" t="s">
        <v>25</v>
      </c>
      <c r="C38" t="s">
        <v>159</v>
      </c>
      <c r="D38" s="20">
        <f>'Preço Gás Adquirido'!D107</f>
        <v>3.016</v>
      </c>
      <c r="E38" s="20">
        <f>'Preço Gás Adquirido'!E107</f>
        <v>3.016</v>
      </c>
      <c r="F38" s="20">
        <f>'Preço Gás Adquirido'!F107</f>
        <v>3.016</v>
      </c>
      <c r="G38" s="20">
        <f>'Preço Gás Adquirido'!G107</f>
        <v>3.016</v>
      </c>
      <c r="H38" s="20">
        <f>'Preço Gás Adquirido'!H107</f>
        <v>3.016</v>
      </c>
      <c r="I38" s="20">
        <f>'Preço Gás Adquirido'!I107</f>
        <v>3.0349999999999997</v>
      </c>
      <c r="J38" s="10"/>
    </row>
    <row r="39" spans="1:10">
      <c r="A39" t="s">
        <v>133</v>
      </c>
      <c r="B39" t="s">
        <v>89</v>
      </c>
      <c r="C39" t="s">
        <v>122</v>
      </c>
      <c r="D39" s="11">
        <f>'Volume Gás Adquirido'!D39</f>
        <v>52675</v>
      </c>
      <c r="E39" s="11">
        <f>'Volume Gás Adquirido'!E39</f>
        <v>183420</v>
      </c>
      <c r="F39" s="11">
        <f>'Volume Gás Adquirido'!F39</f>
        <v>266747</v>
      </c>
      <c r="G39" s="11">
        <f>'Volume Gás Adquirido'!G39</f>
        <v>274956</v>
      </c>
      <c r="H39" s="11">
        <f>'Volume Gás Adquirido'!H39</f>
        <v>257381</v>
      </c>
      <c r="I39" s="11">
        <f>'Volume Gás Adquirido'!I39</f>
        <v>263141</v>
      </c>
    </row>
    <row r="40" spans="1:10" s="7" customFormat="1" ht="15">
      <c r="A40" s="7" t="s">
        <v>133</v>
      </c>
      <c r="B40" s="7" t="s">
        <v>134</v>
      </c>
      <c r="C40" s="7" t="s">
        <v>160</v>
      </c>
      <c r="D40" s="18">
        <f t="shared" ref="D40:I40" si="12">D38*D39</f>
        <v>158867.79999999999</v>
      </c>
      <c r="E40" s="18">
        <f t="shared" si="12"/>
        <v>553194.72</v>
      </c>
      <c r="F40" s="18">
        <f t="shared" si="12"/>
        <v>804508.95200000005</v>
      </c>
      <c r="G40" s="18">
        <f t="shared" si="12"/>
        <v>829267.29599999997</v>
      </c>
      <c r="H40" s="18">
        <f t="shared" si="12"/>
        <v>776261.09600000002</v>
      </c>
      <c r="I40" s="18">
        <f t="shared" si="12"/>
        <v>798632.93499999994</v>
      </c>
      <c r="J40" s="18"/>
    </row>
    <row r="41" spans="1:10" s="7" customFormat="1" ht="15">
      <c r="A41" s="7" t="s">
        <v>133</v>
      </c>
      <c r="B41" s="7" t="s">
        <v>161</v>
      </c>
      <c r="C41" s="7" t="s">
        <v>162</v>
      </c>
      <c r="D41" s="18">
        <f>SUM(D4,D7,D10,D13,D16,D22,D25,D40,D37)</f>
        <v>46141062.655699991</v>
      </c>
      <c r="E41" s="18">
        <f>SUM(E4,E7,E10,E13,E16,E19,E22,E25,E28,E31,E34,E40,E37)</f>
        <v>28410367.948199999</v>
      </c>
      <c r="F41" s="18">
        <f>SUM(F4,F7,F10,F13,F16,F19,F22,F25,F28,F31,F34,F40,F37)</f>
        <v>28436611.216799997</v>
      </c>
      <c r="G41" s="18">
        <f>SUM(G4,G7,G10,G13,G16,G19,G22,G25,G28,G31,G34,G40,G37)</f>
        <v>34593388.7958</v>
      </c>
      <c r="H41" s="18">
        <f>SUM(H4,H7,H10,H13,H16,H19,H22,H25,H28,H31,H34,H40,H37)</f>
        <v>32277614.058000006</v>
      </c>
      <c r="I41" s="18">
        <f>SUM(I4,I7,I10,I13,I16,I19,I22,I25,I28,I31,I34,I40,I37)</f>
        <v>41387300.432400003</v>
      </c>
      <c r="J41" s="18"/>
    </row>
    <row r="42" spans="1:10" s="7" customFormat="1" ht="15"/>
    <row r="44" spans="1:10">
      <c r="A44" t="s">
        <v>163</v>
      </c>
      <c r="B44" t="s">
        <v>28</v>
      </c>
      <c r="C44" t="s">
        <v>164</v>
      </c>
      <c r="D44" s="20">
        <f>'Preço Gás Adquirido'!D14</f>
        <v>2.4485999999999999</v>
      </c>
      <c r="E44" s="20">
        <f>'Preço Gás Adquirido'!E14</f>
        <v>2.4487999999999999</v>
      </c>
      <c r="F44" s="20">
        <f>'Preço Gás Adquirido'!F14</f>
        <v>2.2646999999999999</v>
      </c>
      <c r="G44" s="20">
        <f>'Preço Gás Adquirido'!G14</f>
        <v>2.2646999999999999</v>
      </c>
      <c r="H44" s="20">
        <f>'Preço Gás Adquirido'!H14</f>
        <v>2.2646999999999999</v>
      </c>
      <c r="I44" s="20">
        <f>'Preço Gás Adquirido'!I14</f>
        <v>2.6903999999999999</v>
      </c>
    </row>
    <row r="45" spans="1:10">
      <c r="A45" t="s">
        <v>163</v>
      </c>
      <c r="B45" t="s">
        <v>91</v>
      </c>
      <c r="C45" t="s">
        <v>92</v>
      </c>
      <c r="D45" s="11">
        <f>'Volume Gás Adquirido'!D4</f>
        <v>0</v>
      </c>
      <c r="E45" s="11">
        <f>'Volume Gás Adquirido'!E4</f>
        <v>0</v>
      </c>
      <c r="F45" s="11">
        <f>'Volume Gás Adquirido'!F4</f>
        <v>0</v>
      </c>
      <c r="G45" s="11">
        <f>'Volume Gás Adquirido'!G4</f>
        <v>0</v>
      </c>
      <c r="H45" s="11">
        <f>'Volume Gás Adquirido'!H4</f>
        <v>0</v>
      </c>
      <c r="I45" s="11">
        <f>'Volume Gás Adquirido'!I4</f>
        <v>0</v>
      </c>
    </row>
    <row r="46" spans="1:10" s="7" customFormat="1" ht="15">
      <c r="A46" s="7" t="s">
        <v>163</v>
      </c>
      <c r="B46" s="7" t="s">
        <v>165</v>
      </c>
      <c r="C46" s="7" t="s">
        <v>166</v>
      </c>
      <c r="D46" s="18">
        <f t="shared" ref="D46:I46" si="13">D44*D45</f>
        <v>0</v>
      </c>
      <c r="E46" s="18">
        <f t="shared" si="13"/>
        <v>0</v>
      </c>
      <c r="F46" s="18">
        <f t="shared" si="13"/>
        <v>0</v>
      </c>
      <c r="G46" s="18">
        <f t="shared" si="13"/>
        <v>0</v>
      </c>
      <c r="H46" s="18">
        <f t="shared" si="13"/>
        <v>0</v>
      </c>
      <c r="I46" s="18">
        <f t="shared" si="13"/>
        <v>0</v>
      </c>
    </row>
    <row r="47" spans="1:10">
      <c r="A47" t="s">
        <v>163</v>
      </c>
      <c r="B47" t="s">
        <v>52</v>
      </c>
      <c r="C47" t="s">
        <v>167</v>
      </c>
      <c r="D47" s="20">
        <f>'Preço Gás Adquirido'!D32</f>
        <v>2.8567999999999998</v>
      </c>
      <c r="E47" s="20">
        <f>'Preço Gás Adquirido'!E32</f>
        <v>0</v>
      </c>
      <c r="F47" s="20">
        <f>'Preço Gás Adquirido'!F32</f>
        <v>0</v>
      </c>
      <c r="G47" s="20">
        <f>'Preço Gás Adquirido'!G32</f>
        <v>0</v>
      </c>
      <c r="H47" s="20">
        <f>'Preço Gás Adquirido'!H32</f>
        <v>0</v>
      </c>
      <c r="I47" s="20">
        <f>'Preço Gás Adquirido'!I32</f>
        <v>0</v>
      </c>
    </row>
    <row r="48" spans="1:10">
      <c r="A48" t="s">
        <v>163</v>
      </c>
      <c r="B48" t="s">
        <v>99</v>
      </c>
      <c r="C48" t="s">
        <v>100</v>
      </c>
      <c r="D48" s="11">
        <f>'Volume Gás Adquirido'!D11</f>
        <v>0</v>
      </c>
      <c r="E48" s="11">
        <f>'Volume Gás Adquirido'!E11</f>
        <v>0</v>
      </c>
      <c r="F48" s="11">
        <f>'Volume Gás Adquirido'!F11</f>
        <v>0</v>
      </c>
      <c r="G48" s="11">
        <f>'Volume Gás Adquirido'!G11</f>
        <v>0</v>
      </c>
      <c r="H48" s="11">
        <f>'Volume Gás Adquirido'!H11</f>
        <v>0</v>
      </c>
      <c r="I48" s="11">
        <f>'Volume Gás Adquirido'!I11</f>
        <v>0</v>
      </c>
    </row>
    <row r="49" spans="1:9" s="7" customFormat="1" ht="15">
      <c r="A49" s="7" t="s">
        <v>163</v>
      </c>
      <c r="B49" s="7" t="s">
        <v>165</v>
      </c>
      <c r="C49" s="7" t="s">
        <v>168</v>
      </c>
      <c r="D49" s="18">
        <f t="shared" ref="D49:I49" si="14">D47*D48</f>
        <v>0</v>
      </c>
      <c r="E49" s="18">
        <f t="shared" si="14"/>
        <v>0</v>
      </c>
      <c r="F49" s="18">
        <f t="shared" si="14"/>
        <v>0</v>
      </c>
      <c r="G49" s="18">
        <f t="shared" si="14"/>
        <v>0</v>
      </c>
      <c r="H49" s="18">
        <f t="shared" si="14"/>
        <v>0</v>
      </c>
      <c r="I49" s="18">
        <f t="shared" si="14"/>
        <v>0</v>
      </c>
    </row>
    <row r="50" spans="1:9">
      <c r="A50" t="s">
        <v>163</v>
      </c>
      <c r="B50" t="s">
        <v>54</v>
      </c>
      <c r="C50" t="s">
        <v>169</v>
      </c>
      <c r="D50" s="20">
        <f>'Preço Gás Adquirido'!D33</f>
        <v>3.6717</v>
      </c>
      <c r="E50" s="20">
        <f>'Preço Gás Adquirido'!E33</f>
        <v>0</v>
      </c>
      <c r="F50" s="20">
        <f>'Preço Gás Adquirido'!F33</f>
        <v>0</v>
      </c>
      <c r="G50" s="20">
        <f>'Preço Gás Adquirido'!G33</f>
        <v>0</v>
      </c>
      <c r="H50" s="20">
        <f>'Preço Gás Adquirido'!H33</f>
        <v>0</v>
      </c>
      <c r="I50" s="20">
        <f>'Preço Gás Adquirido'!I33</f>
        <v>0</v>
      </c>
    </row>
    <row r="51" spans="1:9">
      <c r="A51" t="s">
        <v>163</v>
      </c>
      <c r="B51" t="s">
        <v>101</v>
      </c>
      <c r="C51" t="s">
        <v>102</v>
      </c>
      <c r="D51" s="11">
        <f>'Volume Gás Adquirido'!D12</f>
        <v>0</v>
      </c>
      <c r="E51" s="11">
        <f>'Volume Gás Adquirido'!E12</f>
        <v>0</v>
      </c>
      <c r="F51" s="11">
        <f>'Volume Gás Adquirido'!F12</f>
        <v>0</v>
      </c>
      <c r="G51" s="11">
        <f>'Volume Gás Adquirido'!G12</f>
        <v>0</v>
      </c>
      <c r="H51" s="11">
        <f>'Volume Gás Adquirido'!H12</f>
        <v>0</v>
      </c>
      <c r="I51" s="11">
        <f>'Volume Gás Adquirido'!I12</f>
        <v>0</v>
      </c>
    </row>
    <row r="52" spans="1:9" s="7" customFormat="1" ht="15">
      <c r="A52" s="7" t="s">
        <v>163</v>
      </c>
      <c r="B52" s="7" t="s">
        <v>165</v>
      </c>
      <c r="C52" s="7" t="s">
        <v>170</v>
      </c>
      <c r="D52" s="18">
        <f t="shared" ref="D52:I52" si="15">D50*D51</f>
        <v>0</v>
      </c>
      <c r="E52" s="18">
        <f t="shared" si="15"/>
        <v>0</v>
      </c>
      <c r="F52" s="18">
        <f t="shared" si="15"/>
        <v>0</v>
      </c>
      <c r="G52" s="18">
        <f t="shared" si="15"/>
        <v>0</v>
      </c>
      <c r="H52" s="18">
        <f t="shared" si="15"/>
        <v>0</v>
      </c>
      <c r="I52" s="18">
        <f t="shared" si="15"/>
        <v>0</v>
      </c>
    </row>
    <row r="53" spans="1:9">
      <c r="A53" t="s">
        <v>163</v>
      </c>
      <c r="B53" t="s">
        <v>52</v>
      </c>
      <c r="C53" t="s">
        <v>171</v>
      </c>
      <c r="D53" s="20">
        <f>'Preço Gás Adquirido'!D53</f>
        <v>2.7856999999999998</v>
      </c>
      <c r="E53" s="20">
        <f>'Preço Gás Adquirido'!E53</f>
        <v>2.7852999999999999</v>
      </c>
      <c r="F53" s="20">
        <f>'Preço Gás Adquirido'!F53</f>
        <v>2.5783</v>
      </c>
      <c r="G53" s="20">
        <f>'Preço Gás Adquirido'!G53</f>
        <v>2.5783</v>
      </c>
      <c r="H53" s="20">
        <f>'Preço Gás Adquirido'!H53</f>
        <v>2.5261999999999998</v>
      </c>
      <c r="I53" s="20">
        <f>'Preço Gás Adquirido'!I53</f>
        <v>2.9937999999999998</v>
      </c>
    </row>
    <row r="54" spans="1:9">
      <c r="A54" t="s">
        <v>163</v>
      </c>
      <c r="B54" t="s">
        <v>99</v>
      </c>
      <c r="C54" t="s">
        <v>172</v>
      </c>
      <c r="D54" s="11">
        <f>'Volume Gás Adquirido'!D18</f>
        <v>0</v>
      </c>
      <c r="E54" s="11">
        <f>'Volume Gás Adquirido'!E18</f>
        <v>0</v>
      </c>
      <c r="F54" s="11">
        <f>'Volume Gás Adquirido'!F18</f>
        <v>0</v>
      </c>
      <c r="G54" s="11">
        <f>'Volume Gás Adquirido'!G18</f>
        <v>0</v>
      </c>
      <c r="H54" s="11">
        <f>'Volume Gás Adquirido'!H18</f>
        <v>0</v>
      </c>
      <c r="I54" s="11">
        <f>'Volume Gás Adquirido'!I18</f>
        <v>0</v>
      </c>
    </row>
    <row r="55" spans="1:9" s="7" customFormat="1" ht="15">
      <c r="A55" s="7" t="s">
        <v>163</v>
      </c>
      <c r="B55" s="7" t="s">
        <v>165</v>
      </c>
      <c r="C55" s="7" t="s">
        <v>173</v>
      </c>
      <c r="D55" s="18">
        <f t="shared" ref="D55:I55" si="16">D53*D54</f>
        <v>0</v>
      </c>
      <c r="E55" s="18">
        <f t="shared" si="16"/>
        <v>0</v>
      </c>
      <c r="F55" s="18">
        <f t="shared" si="16"/>
        <v>0</v>
      </c>
      <c r="G55" s="18">
        <f t="shared" si="16"/>
        <v>0</v>
      </c>
      <c r="H55" s="18">
        <f t="shared" si="16"/>
        <v>0</v>
      </c>
      <c r="I55" s="18">
        <f t="shared" si="16"/>
        <v>0</v>
      </c>
    </row>
    <row r="56" spans="1:9">
      <c r="A56" t="s">
        <v>163</v>
      </c>
      <c r="B56" t="s">
        <v>54</v>
      </c>
      <c r="C56" t="s">
        <v>174</v>
      </c>
      <c r="D56" s="20">
        <f>'Preço Gás Adquirido'!D54</f>
        <v>3.61</v>
      </c>
      <c r="E56" s="20">
        <f>'Preço Gás Adquirido'!E54</f>
        <v>3.6095999999999999</v>
      </c>
      <c r="F56" s="20">
        <f>'Preço Gás Adquirido'!F54</f>
        <v>3.3336000000000001</v>
      </c>
      <c r="G56" s="20">
        <f>'Preço Gás Adquirido'!G54</f>
        <v>3.3336000000000001</v>
      </c>
      <c r="H56" s="20">
        <f>'Preço Gás Adquirido'!H54</f>
        <v>3.2642000000000002</v>
      </c>
      <c r="I56" s="20">
        <f>'Preço Gás Adquirido'!I54</f>
        <v>3.8875999999999999</v>
      </c>
    </row>
    <row r="57" spans="1:9">
      <c r="A57" t="s">
        <v>163</v>
      </c>
      <c r="B57" t="s">
        <v>101</v>
      </c>
      <c r="C57" t="s">
        <v>110</v>
      </c>
      <c r="D57" s="11">
        <f>'Volume Gás Adquirido'!D19</f>
        <v>0</v>
      </c>
      <c r="E57" s="11">
        <f>'Volume Gás Adquirido'!E19</f>
        <v>0</v>
      </c>
      <c r="F57" s="11">
        <f>'Volume Gás Adquirido'!F19</f>
        <v>0</v>
      </c>
      <c r="G57" s="11">
        <f>'Volume Gás Adquirido'!G19</f>
        <v>0</v>
      </c>
      <c r="H57" s="11">
        <f>'Volume Gás Adquirido'!H19</f>
        <v>0</v>
      </c>
      <c r="I57" s="11">
        <f>'Volume Gás Adquirido'!I19</f>
        <v>0</v>
      </c>
    </row>
    <row r="58" spans="1:9" s="7" customFormat="1" ht="15">
      <c r="A58" s="7" t="s">
        <v>163</v>
      </c>
      <c r="B58" s="7" t="s">
        <v>165</v>
      </c>
      <c r="C58" s="7" t="s">
        <v>175</v>
      </c>
      <c r="D58" s="18">
        <f t="shared" ref="D58:I58" si="17">D56*D57</f>
        <v>0</v>
      </c>
      <c r="E58" s="18">
        <f t="shared" si="17"/>
        <v>0</v>
      </c>
      <c r="F58" s="18">
        <f t="shared" si="17"/>
        <v>0</v>
      </c>
      <c r="G58" s="18">
        <f t="shared" si="17"/>
        <v>0</v>
      </c>
      <c r="H58" s="18">
        <f t="shared" si="17"/>
        <v>0</v>
      </c>
      <c r="I58" s="18">
        <f t="shared" si="17"/>
        <v>0</v>
      </c>
    </row>
    <row r="59" spans="1:9">
      <c r="A59" t="s">
        <v>163</v>
      </c>
      <c r="B59" t="s">
        <v>52</v>
      </c>
      <c r="C59" t="s">
        <v>72</v>
      </c>
      <c r="D59" s="20">
        <f>'Preço Gás Adquirido'!D74</f>
        <v>3.0931000000000002</v>
      </c>
      <c r="E59" s="20">
        <f>'Preço Gás Adquirido'!E74</f>
        <v>3.0931000000000002</v>
      </c>
      <c r="F59" s="20">
        <f>'Preço Gás Adquirido'!F74</f>
        <v>2.8687</v>
      </c>
      <c r="G59" s="20">
        <f>'Preço Gás Adquirido'!G74</f>
        <v>2.8687</v>
      </c>
      <c r="H59" s="20">
        <f>'Preço Gás Adquirido'!H74</f>
        <v>0</v>
      </c>
      <c r="I59" s="20">
        <f>'Preço Gás Adquirido'!I74</f>
        <v>0</v>
      </c>
    </row>
    <row r="60" spans="1:9">
      <c r="A60" t="s">
        <v>163</v>
      </c>
      <c r="B60" t="s">
        <v>99</v>
      </c>
      <c r="C60" t="s">
        <v>114</v>
      </c>
      <c r="D60" s="11">
        <f>'Volume Gás Adquirido'!D25</f>
        <v>0</v>
      </c>
      <c r="E60" s="11">
        <f>'Volume Gás Adquirido'!E25</f>
        <v>49665</v>
      </c>
      <c r="F60" s="11">
        <f>'Volume Gás Adquirido'!F25</f>
        <v>61278</v>
      </c>
      <c r="G60" s="11">
        <f>'Volume Gás Adquirido'!G25</f>
        <v>70153</v>
      </c>
      <c r="H60" s="11">
        <f>'Volume Gás Adquirido'!H25</f>
        <v>0</v>
      </c>
      <c r="I60" s="11">
        <f>'Volume Gás Adquirido'!I25</f>
        <v>0</v>
      </c>
    </row>
    <row r="61" spans="1:9" s="7" customFormat="1" ht="15">
      <c r="A61" s="7" t="s">
        <v>163</v>
      </c>
      <c r="B61" s="7" t="s">
        <v>165</v>
      </c>
      <c r="C61" s="7" t="s">
        <v>176</v>
      </c>
      <c r="D61" s="18">
        <f t="shared" ref="D61:I61" si="18">D59*D60</f>
        <v>0</v>
      </c>
      <c r="E61" s="18">
        <f t="shared" si="18"/>
        <v>153618.81150000001</v>
      </c>
      <c r="F61" s="18">
        <f t="shared" si="18"/>
        <v>175788.1986</v>
      </c>
      <c r="G61" s="18">
        <f t="shared" si="18"/>
        <v>201247.9111</v>
      </c>
      <c r="H61" s="18">
        <f t="shared" si="18"/>
        <v>0</v>
      </c>
      <c r="I61" s="18">
        <f t="shared" si="18"/>
        <v>0</v>
      </c>
    </row>
    <row r="62" spans="1:9">
      <c r="A62" t="s">
        <v>163</v>
      </c>
      <c r="B62" t="s">
        <v>54</v>
      </c>
      <c r="C62" t="s">
        <v>73</v>
      </c>
      <c r="D62" s="20">
        <f>'Preço Gás Adquirido'!D75</f>
        <v>3.9866999999999999</v>
      </c>
      <c r="E62" s="20">
        <f>'Preço Gás Adquirido'!E75</f>
        <v>3.9866999999999999</v>
      </c>
      <c r="F62" s="20">
        <f>'Preço Gás Adquirido'!F75</f>
        <v>3.6875</v>
      </c>
      <c r="G62" s="20">
        <f>'Preço Gás Adquirido'!G75</f>
        <v>3.6875</v>
      </c>
      <c r="H62" s="20">
        <f>'Preço Gás Adquirido'!H75</f>
        <v>0</v>
      </c>
      <c r="I62" s="20">
        <f>'Preço Gás Adquirido'!I75</f>
        <v>0</v>
      </c>
    </row>
    <row r="63" spans="1:9">
      <c r="A63" t="s">
        <v>163</v>
      </c>
      <c r="B63" t="s">
        <v>101</v>
      </c>
      <c r="C63" t="s">
        <v>115</v>
      </c>
      <c r="D63" s="11">
        <f>'Volume Gás Adquirido'!D26</f>
        <v>0</v>
      </c>
      <c r="E63" s="11">
        <f>'Volume Gás Adquirido'!E26</f>
        <v>20909</v>
      </c>
      <c r="F63" s="11">
        <f>'Volume Gás Adquirido'!F26</f>
        <v>95941</v>
      </c>
      <c r="G63" s="11">
        <f>'Volume Gás Adquirido'!G26</f>
        <v>130648</v>
      </c>
      <c r="H63" s="11">
        <f>'Volume Gás Adquirido'!H26</f>
        <v>0</v>
      </c>
      <c r="I63" s="11">
        <f>'Volume Gás Adquirido'!I26</f>
        <v>0</v>
      </c>
    </row>
    <row r="64" spans="1:9" s="7" customFormat="1" ht="15">
      <c r="A64" s="7" t="s">
        <v>163</v>
      </c>
      <c r="B64" s="7" t="s">
        <v>165</v>
      </c>
      <c r="C64" s="7" t="s">
        <v>177</v>
      </c>
      <c r="D64" s="18">
        <f t="shared" ref="D64:I64" si="19">D62*D63</f>
        <v>0</v>
      </c>
      <c r="E64" s="18">
        <f t="shared" si="19"/>
        <v>83357.910300000003</v>
      </c>
      <c r="F64" s="18">
        <f t="shared" si="19"/>
        <v>353782.4375</v>
      </c>
      <c r="G64" s="18">
        <f t="shared" si="19"/>
        <v>481764.5</v>
      </c>
      <c r="H64" s="18">
        <f t="shared" si="19"/>
        <v>0</v>
      </c>
      <c r="I64" s="18">
        <f t="shared" si="19"/>
        <v>0</v>
      </c>
    </row>
    <row r="65" spans="1:9">
      <c r="A65" t="s">
        <v>163</v>
      </c>
      <c r="B65" t="s">
        <v>52</v>
      </c>
      <c r="C65" t="s">
        <v>77</v>
      </c>
      <c r="D65" s="20">
        <f>'Preço Gás Adquirido'!D92</f>
        <v>0</v>
      </c>
      <c r="E65" s="20">
        <f>'Preço Gás Adquirido'!E92</f>
        <v>2.7437</v>
      </c>
      <c r="F65" s="20">
        <f>'Preço Gás Adquirido'!F92</f>
        <v>2.5402</v>
      </c>
      <c r="G65" s="20">
        <f>'Preço Gás Adquirido'!G92</f>
        <v>2.5402</v>
      </c>
      <c r="H65" s="20">
        <f>'Preço Gás Adquirido'!H92</f>
        <v>0</v>
      </c>
      <c r="I65" s="20">
        <f>'Preço Gás Adquirido'!I92</f>
        <v>0</v>
      </c>
    </row>
    <row r="66" spans="1:9">
      <c r="A66" t="s">
        <v>163</v>
      </c>
      <c r="B66" t="s">
        <v>99</v>
      </c>
      <c r="C66" t="s">
        <v>118</v>
      </c>
      <c r="D66" s="11">
        <f>'Volume Gás Adquirido'!D31</f>
        <v>0</v>
      </c>
      <c r="E66" s="11">
        <f>'Volume Gás Adquirido'!E31</f>
        <v>0</v>
      </c>
      <c r="F66" s="11">
        <f>'Volume Gás Adquirido'!F31</f>
        <v>0</v>
      </c>
      <c r="G66" s="11">
        <f>'Volume Gás Adquirido'!G31</f>
        <v>0</v>
      </c>
      <c r="H66" s="11">
        <f>'Volume Gás Adquirido'!H31</f>
        <v>0</v>
      </c>
      <c r="I66" s="11">
        <f>'Volume Gás Adquirido'!I31</f>
        <v>0</v>
      </c>
    </row>
    <row r="67" spans="1:9" s="7" customFormat="1" ht="15">
      <c r="A67" s="7" t="s">
        <v>163</v>
      </c>
      <c r="B67" s="7" t="s">
        <v>165</v>
      </c>
      <c r="C67" s="7" t="s">
        <v>178</v>
      </c>
      <c r="D67" s="18">
        <f t="shared" ref="D67:I67" si="20">D65*D66</f>
        <v>0</v>
      </c>
      <c r="E67" s="18">
        <f t="shared" si="20"/>
        <v>0</v>
      </c>
      <c r="F67" s="18">
        <f t="shared" si="20"/>
        <v>0</v>
      </c>
      <c r="G67" s="18">
        <f t="shared" si="20"/>
        <v>0</v>
      </c>
      <c r="H67" s="18">
        <f t="shared" si="20"/>
        <v>0</v>
      </c>
      <c r="I67" s="18">
        <f t="shared" si="20"/>
        <v>0</v>
      </c>
    </row>
    <row r="68" spans="1:9">
      <c r="A68" t="s">
        <v>163</v>
      </c>
      <c r="B68" t="s">
        <v>54</v>
      </c>
      <c r="C68" t="s">
        <v>78</v>
      </c>
      <c r="D68" s="20">
        <f>'Preço Gás Adquirido'!D93</f>
        <v>0</v>
      </c>
      <c r="E68" s="20">
        <f>'Preço Gás Adquirido'!E93</f>
        <v>3.5541999999999998</v>
      </c>
      <c r="F68" s="20">
        <f>'Preço Gás Adquirido'!F93</f>
        <v>3.2827999999999999</v>
      </c>
      <c r="G68" s="20">
        <f>'Preço Gás Adquirido'!G93</f>
        <v>3.2827999999999999</v>
      </c>
      <c r="H68" s="20">
        <f>'Preço Gás Adquirido'!H93</f>
        <v>0</v>
      </c>
      <c r="I68" s="20">
        <f>'Preço Gás Adquirido'!I93</f>
        <v>0</v>
      </c>
    </row>
    <row r="69" spans="1:9">
      <c r="A69" t="s">
        <v>163</v>
      </c>
      <c r="B69" t="s">
        <v>101</v>
      </c>
      <c r="C69" t="s">
        <v>119</v>
      </c>
      <c r="D69" s="11">
        <f>'Volume Gás Adquirido'!D32</f>
        <v>0</v>
      </c>
      <c r="E69" s="11">
        <f>'Volume Gás Adquirido'!E32</f>
        <v>0</v>
      </c>
      <c r="F69" s="11">
        <f>'Volume Gás Adquirido'!F32</f>
        <v>0</v>
      </c>
      <c r="G69" s="11">
        <f>'Volume Gás Adquirido'!G32</f>
        <v>0</v>
      </c>
      <c r="H69" s="11">
        <f>'Volume Gás Adquirido'!H32</f>
        <v>0</v>
      </c>
      <c r="I69" s="11">
        <f>'Volume Gás Adquirido'!I32</f>
        <v>0</v>
      </c>
    </row>
    <row r="70" spans="1:9" s="7" customFormat="1" ht="15">
      <c r="A70" s="7" t="s">
        <v>163</v>
      </c>
      <c r="B70" s="7" t="s">
        <v>165</v>
      </c>
      <c r="C70" s="7" t="s">
        <v>179</v>
      </c>
      <c r="D70" s="18">
        <f t="shared" ref="D70:I70" si="21">D68*D69</f>
        <v>0</v>
      </c>
      <c r="E70" s="18">
        <f t="shared" si="21"/>
        <v>0</v>
      </c>
      <c r="F70" s="18">
        <f t="shared" si="21"/>
        <v>0</v>
      </c>
      <c r="G70" s="18">
        <f t="shared" si="21"/>
        <v>0</v>
      </c>
      <c r="H70" s="18">
        <f t="shared" si="21"/>
        <v>0</v>
      </c>
      <c r="I70" s="18">
        <f t="shared" si="21"/>
        <v>0</v>
      </c>
    </row>
    <row r="71" spans="1:9">
      <c r="A71" t="s">
        <v>163</v>
      </c>
      <c r="B71" t="s">
        <v>28</v>
      </c>
      <c r="C71" t="s">
        <v>180</v>
      </c>
      <c r="D71" s="20">
        <f>'Preço Gás Adquirido'!D101</f>
        <v>0</v>
      </c>
      <c r="E71" s="20">
        <f>'Preço Gás Adquirido'!E101</f>
        <v>0</v>
      </c>
      <c r="F71" s="20">
        <f>'Preço Gás Adquirido'!F101</f>
        <v>0</v>
      </c>
      <c r="G71" s="20">
        <f>'Preço Gás Adquirido'!G101</f>
        <v>0</v>
      </c>
      <c r="H71" s="20">
        <f>'Preço Gás Adquirido'!H101</f>
        <v>0</v>
      </c>
      <c r="I71" s="20">
        <f>'Preço Gás Adquirido'!I101</f>
        <v>0</v>
      </c>
    </row>
    <row r="72" spans="1:9">
      <c r="A72" t="s">
        <v>163</v>
      </c>
      <c r="B72" t="s">
        <v>91</v>
      </c>
      <c r="C72" t="s">
        <v>181</v>
      </c>
      <c r="D72" s="11">
        <f>'Volume Gás Adquirido'!D40</f>
        <v>0</v>
      </c>
      <c r="E72" s="11">
        <f>'Volume Gás Adquirido'!E40</f>
        <v>0</v>
      </c>
      <c r="F72" s="11">
        <f>'Volume Gás Adquirido'!F40</f>
        <v>0</v>
      </c>
      <c r="G72" s="11">
        <f>'Volume Gás Adquirido'!G40</f>
        <v>0</v>
      </c>
      <c r="H72" s="11">
        <f>'Volume Gás Adquirido'!H40</f>
        <v>0</v>
      </c>
      <c r="I72" s="11">
        <f>'Volume Gás Adquirido'!I40</f>
        <v>0</v>
      </c>
    </row>
    <row r="73" spans="1:9" s="7" customFormat="1" ht="15">
      <c r="A73" s="7" t="s">
        <v>163</v>
      </c>
      <c r="B73" s="7" t="s">
        <v>165</v>
      </c>
      <c r="C73" s="7" t="s">
        <v>182</v>
      </c>
      <c r="D73" s="18">
        <f t="shared" ref="D73:I73" si="22">D71*D72</f>
        <v>0</v>
      </c>
      <c r="E73" s="18">
        <f t="shared" si="22"/>
        <v>0</v>
      </c>
      <c r="F73" s="18">
        <f t="shared" si="22"/>
        <v>0</v>
      </c>
      <c r="G73" s="18">
        <f t="shared" si="22"/>
        <v>0</v>
      </c>
      <c r="H73" s="18">
        <f t="shared" si="22"/>
        <v>0</v>
      </c>
      <c r="I73" s="18">
        <f t="shared" si="22"/>
        <v>0</v>
      </c>
    </row>
    <row r="74" spans="1:9" s="7" customFormat="1" ht="15">
      <c r="A74" s="7" t="s">
        <v>163</v>
      </c>
      <c r="B74" s="7" t="s">
        <v>183</v>
      </c>
      <c r="C74" s="7" t="s">
        <v>184</v>
      </c>
      <c r="D74" s="18">
        <f t="shared" ref="D74:I74" si="23">SUM(D46,D49,D52,D55,D58,D61,D64,D73,D67,D70)</f>
        <v>0</v>
      </c>
      <c r="E74" s="18">
        <f t="shared" si="23"/>
        <v>236976.7218</v>
      </c>
      <c r="F74" s="18">
        <f t="shared" si="23"/>
        <v>529570.6361</v>
      </c>
      <c r="G74" s="18">
        <f t="shared" si="23"/>
        <v>683012.41110000003</v>
      </c>
      <c r="H74" s="18">
        <f t="shared" si="23"/>
        <v>0</v>
      </c>
      <c r="I74" s="18">
        <f t="shared" si="23"/>
        <v>0</v>
      </c>
    </row>
    <row r="77" spans="1:9">
      <c r="A77" t="s">
        <v>185</v>
      </c>
      <c r="B77" t="s">
        <v>31</v>
      </c>
      <c r="C77" t="s">
        <v>186</v>
      </c>
      <c r="D77" s="20">
        <f>'Preço Gás Adquirido'!D15</f>
        <v>0</v>
      </c>
      <c r="E77" s="20">
        <f>'Preço Gás Adquirido'!E15</f>
        <v>0</v>
      </c>
      <c r="F77" s="20">
        <f>'Preço Gás Adquirido'!F15</f>
        <v>0</v>
      </c>
      <c r="G77" s="20">
        <f>'Preço Gás Adquirido'!G15</f>
        <v>0</v>
      </c>
      <c r="H77" s="20">
        <f>'Preço Gás Adquirido'!H15</f>
        <v>0</v>
      </c>
      <c r="I77" s="20">
        <f>'Preço Gás Adquirido'!I15</f>
        <v>0</v>
      </c>
    </row>
    <row r="78" spans="1:9">
      <c r="A78" t="s">
        <v>185</v>
      </c>
      <c r="B78" t="s">
        <v>94</v>
      </c>
      <c r="C78" t="s">
        <v>187</v>
      </c>
      <c r="D78" s="11">
        <f>'Volume Gás Adquirido'!D5</f>
        <v>0</v>
      </c>
      <c r="E78" s="11">
        <f>'Volume Gás Adquirido'!E5</f>
        <v>0</v>
      </c>
      <c r="F78" s="11">
        <f>'Volume Gás Adquirido'!F5</f>
        <v>0</v>
      </c>
      <c r="G78" s="11">
        <f>'Volume Gás Adquirido'!G5</f>
        <v>0</v>
      </c>
      <c r="H78" s="11">
        <f>'Volume Gás Adquirido'!H5</f>
        <v>0</v>
      </c>
      <c r="I78" s="11">
        <f>'Volume Gás Adquirido'!I5</f>
        <v>0</v>
      </c>
    </row>
    <row r="79" spans="1:9" s="30" customFormat="1" ht="15">
      <c r="A79" s="7" t="s">
        <v>185</v>
      </c>
      <c r="B79" s="7" t="s">
        <v>188</v>
      </c>
      <c r="C79" s="7" t="s">
        <v>189</v>
      </c>
      <c r="D79" s="18">
        <f t="shared" ref="D79:I79" si="24">D78*D77</f>
        <v>0</v>
      </c>
      <c r="E79" s="18">
        <f t="shared" si="24"/>
        <v>0</v>
      </c>
      <c r="F79" s="18">
        <f t="shared" si="24"/>
        <v>0</v>
      </c>
      <c r="G79" s="18">
        <f t="shared" si="24"/>
        <v>0</v>
      </c>
      <c r="H79" s="18">
        <f t="shared" si="24"/>
        <v>0</v>
      </c>
      <c r="I79" s="18">
        <f t="shared" si="24"/>
        <v>0</v>
      </c>
    </row>
    <row r="80" spans="1:9" s="30" customFormat="1" ht="15">
      <c r="A80" s="7" t="s">
        <v>185</v>
      </c>
      <c r="B80" s="7" t="s">
        <v>190</v>
      </c>
      <c r="C80" s="7" t="s">
        <v>191</v>
      </c>
      <c r="D80" s="18">
        <f t="shared" ref="D80:I80" si="25">D79</f>
        <v>0</v>
      </c>
      <c r="E80" s="18">
        <f t="shared" si="25"/>
        <v>0</v>
      </c>
      <c r="F80" s="18">
        <f t="shared" si="25"/>
        <v>0</v>
      </c>
      <c r="G80" s="18">
        <f t="shared" si="25"/>
        <v>0</v>
      </c>
      <c r="H80" s="18">
        <f t="shared" si="25"/>
        <v>0</v>
      </c>
      <c r="I80" s="18">
        <f t="shared" si="25"/>
        <v>0</v>
      </c>
    </row>
    <row r="81" spans="2:7" ht="15">
      <c r="B81" s="7"/>
    </row>
    <row r="82" spans="2:7" s="51" customFormat="1">
      <c r="C82" s="53"/>
      <c r="D82" s="54"/>
      <c r="E82" s="54"/>
      <c r="F82" s="54"/>
      <c r="G82" s="54"/>
    </row>
    <row r="83" spans="2:7" ht="15">
      <c r="B83" s="7"/>
    </row>
    <row r="84" spans="2:7" ht="15">
      <c r="B84" s="7"/>
    </row>
  </sheetData>
  <pageMargins left="0.7" right="0.7" top="0.75" bottom="0.75" header="0.3" footer="0.3"/>
  <headerFooter>
    <oddHeader>&amp;L&amp;"Calibri"&amp;10&amp;K000000 Interno&amp;1#_x000D_</oddHeader>
    <oddFooter>&amp;L_x000D_&amp;1#&amp;"Calibri"&amp;10&amp;K000000 Interno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I14"/>
  <sheetViews>
    <sheetView workbookViewId="0">
      <pane xSplit="2" ySplit="1" topLeftCell="C2" activePane="bottomRight" state="frozen"/>
      <selection pane="topRight" activeCell="D1" sqref="D1"/>
      <selection pane="bottomLeft" activeCell="A2" sqref="A2"/>
      <selection pane="bottomRight" activeCell="E17" sqref="E17"/>
    </sheetView>
  </sheetViews>
  <sheetFormatPr defaultRowHeight="14.25"/>
  <cols>
    <col min="1" max="1" width="8.375" customWidth="1"/>
    <col min="2" max="2" width="31.875" customWidth="1"/>
    <col min="3" max="3" width="11.25" customWidth="1"/>
    <col min="4" max="4" width="13.375" customWidth="1"/>
    <col min="5" max="5" width="11.375" customWidth="1"/>
    <col min="6" max="6" width="11.875" customWidth="1"/>
    <col min="7" max="8" width="11.375" bestFit="1" customWidth="1"/>
    <col min="9" max="9" width="14" bestFit="1" customWidth="1"/>
  </cols>
  <sheetData>
    <row r="1" spans="1:9" ht="15">
      <c r="A1" s="9"/>
      <c r="B1" s="85" t="s">
        <v>192</v>
      </c>
      <c r="C1" s="86">
        <v>45992</v>
      </c>
      <c r="D1" s="86">
        <v>46023</v>
      </c>
      <c r="E1" s="86">
        <v>46054</v>
      </c>
      <c r="F1" s="86">
        <v>46082</v>
      </c>
      <c r="G1" s="86">
        <v>46113</v>
      </c>
      <c r="H1" s="86">
        <v>46143</v>
      </c>
    </row>
    <row r="2" spans="1:9">
      <c r="A2" t="s">
        <v>193</v>
      </c>
      <c r="B2" t="s">
        <v>194</v>
      </c>
      <c r="C2" s="5">
        <v>0</v>
      </c>
      <c r="D2" s="5">
        <v>0</v>
      </c>
      <c r="E2" s="5">
        <v>0</v>
      </c>
      <c r="F2" s="5">
        <v>0</v>
      </c>
      <c r="G2" s="5">
        <v>0</v>
      </c>
      <c r="H2" s="5">
        <v>0</v>
      </c>
    </row>
    <row r="3" spans="1:9">
      <c r="A3" t="s">
        <v>193</v>
      </c>
      <c r="B3" t="s">
        <v>195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5">
        <v>0</v>
      </c>
    </row>
    <row r="4" spans="1:9">
      <c r="A4" t="s">
        <v>193</v>
      </c>
      <c r="B4" t="s">
        <v>196</v>
      </c>
      <c r="C4" s="5">
        <v>0</v>
      </c>
      <c r="D4" s="5">
        <v>0</v>
      </c>
      <c r="E4" s="5">
        <v>402738</v>
      </c>
      <c r="F4" s="5">
        <v>258158.18</v>
      </c>
      <c r="G4" s="5">
        <v>0</v>
      </c>
      <c r="H4" s="5">
        <v>0</v>
      </c>
    </row>
    <row r="5" spans="1:9">
      <c r="A5" t="s">
        <v>193</v>
      </c>
      <c r="B5" t="s">
        <v>197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</row>
    <row r="6" spans="1:9">
      <c r="A6" t="s">
        <v>193</v>
      </c>
      <c r="B6" t="s">
        <v>198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</row>
    <row r="7" spans="1:9">
      <c r="A7" t="s">
        <v>193</v>
      </c>
      <c r="B7" t="s">
        <v>199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</row>
    <row r="8" spans="1:9">
      <c r="A8" t="s">
        <v>193</v>
      </c>
      <c r="B8" t="s">
        <v>200</v>
      </c>
      <c r="C8" s="5">
        <v>909425.06160000002</v>
      </c>
      <c r="D8" s="5">
        <v>1836565.5123999999</v>
      </c>
      <c r="E8" s="5">
        <v>1486505.4280000001</v>
      </c>
      <c r="F8" s="5">
        <v>1582422.59</v>
      </c>
      <c r="G8" s="5">
        <v>1177721.5</v>
      </c>
      <c r="H8" s="5">
        <v>1023734.46945</v>
      </c>
    </row>
    <row r="9" spans="1:9" ht="15">
      <c r="A9" s="7" t="s">
        <v>201</v>
      </c>
      <c r="B9" s="7" t="s">
        <v>202</v>
      </c>
      <c r="C9" s="67">
        <f t="shared" ref="C9:H9" si="0">SUM(C2:C8)</f>
        <v>909425.06160000002</v>
      </c>
      <c r="D9" s="67">
        <f t="shared" si="0"/>
        <v>1836565.5123999999</v>
      </c>
      <c r="E9" s="67">
        <f t="shared" si="0"/>
        <v>1889243.4280000001</v>
      </c>
      <c r="F9" s="67">
        <f t="shared" si="0"/>
        <v>1840580.77</v>
      </c>
      <c r="G9" s="67">
        <f t="shared" si="0"/>
        <v>1177721.5</v>
      </c>
      <c r="H9" s="67">
        <f t="shared" si="0"/>
        <v>1023734.46945</v>
      </c>
    </row>
    <row r="11" spans="1:9" ht="15">
      <c r="A11" s="9"/>
      <c r="B11" s="85" t="s">
        <v>203</v>
      </c>
      <c r="C11" s="86">
        <v>45992</v>
      </c>
      <c r="D11" s="86">
        <v>46023</v>
      </c>
      <c r="E11" s="86">
        <v>46054</v>
      </c>
      <c r="F11" s="86">
        <v>46082</v>
      </c>
      <c r="G11" s="86">
        <v>46113</v>
      </c>
      <c r="H11" s="86">
        <v>46143</v>
      </c>
    </row>
    <row r="12" spans="1:9">
      <c r="A12" t="s">
        <v>204</v>
      </c>
      <c r="B12" t="s">
        <v>205</v>
      </c>
      <c r="C12" s="5">
        <v>1735304.2459</v>
      </c>
      <c r="D12" s="5">
        <f>1208339.1794</f>
        <v>1208339.1794</v>
      </c>
      <c r="E12" s="5">
        <f>8710.085+1283566.13</f>
        <v>1292276.2149999999</v>
      </c>
      <c r="F12" s="5">
        <v>1483671.61</v>
      </c>
      <c r="G12" s="5">
        <v>2427583.7999999998</v>
      </c>
      <c r="H12" s="5">
        <v>2524145.3698559999</v>
      </c>
      <c r="I12" s="76"/>
    </row>
    <row r="13" spans="1:9">
      <c r="A13" t="s">
        <v>204</v>
      </c>
      <c r="B13" t="s">
        <v>206</v>
      </c>
      <c r="C13" s="5">
        <v>767237.65709999995</v>
      </c>
      <c r="D13" s="5">
        <v>183442.4993</v>
      </c>
      <c r="E13" s="5">
        <v>165690</v>
      </c>
      <c r="F13" s="5">
        <v>183442.5</v>
      </c>
      <c r="G13" s="5">
        <v>177525</v>
      </c>
      <c r="H13" s="5">
        <v>183442.5</v>
      </c>
    </row>
    <row r="14" spans="1:9" ht="15">
      <c r="A14" s="7" t="s">
        <v>207</v>
      </c>
      <c r="B14" s="7" t="s">
        <v>208</v>
      </c>
      <c r="C14" s="67">
        <f t="shared" ref="C14:H14" si="1">SUM(C12:C13)</f>
        <v>2502541.9029999999</v>
      </c>
      <c r="D14" s="67">
        <f t="shared" si="1"/>
        <v>1391781.6787</v>
      </c>
      <c r="E14" s="67">
        <f t="shared" si="1"/>
        <v>1457966.2149999999</v>
      </c>
      <c r="F14" s="67">
        <f t="shared" si="1"/>
        <v>1667114.11</v>
      </c>
      <c r="G14" s="67">
        <f t="shared" si="1"/>
        <v>2605108.7999999998</v>
      </c>
      <c r="H14" s="67">
        <f t="shared" si="1"/>
        <v>2707587.8698559999</v>
      </c>
    </row>
  </sheetData>
  <pageMargins left="0.7" right="0.7" top="0.75" bottom="0.75" header="0.3" footer="0.3"/>
  <pageSetup paperSize="9" orientation="portrait" r:id="rId1"/>
  <headerFooter>
    <oddHeader>&amp;L&amp;"Calibri"&amp;10&amp;K000000 Interno&amp;1#_x000D_</oddHeader>
    <oddFooter>&amp;L_x000D_&amp;1#&amp;"Calibri"&amp;10&amp;K000000 Interno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H13"/>
  <sheetViews>
    <sheetView workbookViewId="0">
      <pane xSplit="2" ySplit="1" topLeftCell="C2" activePane="bottomRight" state="frozen"/>
      <selection pane="topRight" activeCell="D1" sqref="D1"/>
      <selection pane="bottomLeft" activeCell="A2" sqref="A2"/>
      <selection pane="bottomRight" activeCell="H15" sqref="H15"/>
    </sheetView>
  </sheetViews>
  <sheetFormatPr defaultRowHeight="14.25"/>
  <cols>
    <col min="1" max="1" width="11.375" customWidth="1"/>
    <col min="2" max="2" width="41.875" customWidth="1"/>
    <col min="3" max="5" width="14.875" bestFit="1" customWidth="1"/>
    <col min="6" max="6" width="14" customWidth="1"/>
    <col min="7" max="8" width="14.875" bestFit="1" customWidth="1"/>
  </cols>
  <sheetData>
    <row r="1" spans="1:8" ht="15">
      <c r="B1" s="7" t="s">
        <v>209</v>
      </c>
      <c r="C1" s="84">
        <v>45992</v>
      </c>
      <c r="D1" s="84">
        <v>46023</v>
      </c>
      <c r="E1" s="84">
        <v>46054</v>
      </c>
      <c r="F1" s="84">
        <v>46082</v>
      </c>
      <c r="G1" s="84">
        <v>46113</v>
      </c>
      <c r="H1" s="84">
        <v>46143</v>
      </c>
    </row>
    <row r="2" spans="1:8">
      <c r="A2" t="s">
        <v>161</v>
      </c>
      <c r="B2" t="s">
        <v>210</v>
      </c>
      <c r="C2" s="10">
        <f>'Montantes Aquisição'!D41</f>
        <v>46141062.655699991</v>
      </c>
      <c r="D2" s="10">
        <f>'Montantes Aquisição'!E41</f>
        <v>28410367.948199999</v>
      </c>
      <c r="E2" s="10">
        <f>'Montantes Aquisição'!F41</f>
        <v>28436611.216799997</v>
      </c>
      <c r="F2" s="10">
        <f>'Montantes Aquisição'!G41</f>
        <v>34593388.7958</v>
      </c>
      <c r="G2" s="10">
        <f>'Montantes Aquisição'!H41</f>
        <v>32277614.058000006</v>
      </c>
      <c r="H2" s="10">
        <f>'Montantes Aquisição'!I41</f>
        <v>41387300.432400003</v>
      </c>
    </row>
    <row r="3" spans="1:8">
      <c r="A3" t="s">
        <v>183</v>
      </c>
      <c r="B3" t="s">
        <v>211</v>
      </c>
      <c r="C3" s="10">
        <f>'Montantes Aquisição'!D74</f>
        <v>0</v>
      </c>
      <c r="D3" s="10">
        <f>'Montantes Aquisição'!E74</f>
        <v>236976.7218</v>
      </c>
      <c r="E3" s="10">
        <f>'Montantes Aquisição'!F74</f>
        <v>529570.6361</v>
      </c>
      <c r="F3" s="10">
        <f>'Montantes Aquisição'!G74</f>
        <v>683012.41110000003</v>
      </c>
      <c r="G3" s="10">
        <f>'Montantes Aquisição'!H74</f>
        <v>0</v>
      </c>
      <c r="H3" s="10">
        <f>'Montantes Aquisição'!I74</f>
        <v>0</v>
      </c>
    </row>
    <row r="4" spans="1:8">
      <c r="A4" t="s">
        <v>190</v>
      </c>
      <c r="B4" t="s">
        <v>212</v>
      </c>
      <c r="C4" s="10">
        <f>'Montantes Aquisição'!D79</f>
        <v>0</v>
      </c>
      <c r="D4" s="10">
        <f>'Montantes Aquisição'!E79</f>
        <v>0</v>
      </c>
      <c r="E4" s="10">
        <f>'Montantes Aquisição'!F79</f>
        <v>0</v>
      </c>
      <c r="F4" s="10">
        <f>'Montantes Aquisição'!G79</f>
        <v>0</v>
      </c>
      <c r="G4" s="10">
        <f>'Montantes Aquisição'!H79</f>
        <v>0</v>
      </c>
      <c r="H4" s="10">
        <f>'Montantes Aquisição'!I79</f>
        <v>0</v>
      </c>
    </row>
    <row r="5" spans="1:8">
      <c r="A5" t="s">
        <v>201</v>
      </c>
      <c r="B5" t="s">
        <v>202</v>
      </c>
      <c r="C5" s="10">
        <f>Encargos!C9</f>
        <v>909425.06160000002</v>
      </c>
      <c r="D5" s="10">
        <f>Encargos!D9</f>
        <v>1836565.5123999999</v>
      </c>
      <c r="E5" s="10">
        <f>Encargos!E9</f>
        <v>1889243.4280000001</v>
      </c>
      <c r="F5" s="10">
        <f>Encargos!F9</f>
        <v>1840580.77</v>
      </c>
      <c r="G5" s="10">
        <f>Encargos!G9</f>
        <v>1177721.5</v>
      </c>
      <c r="H5" s="10">
        <f>Encargos!H9</f>
        <v>1023734.46945</v>
      </c>
    </row>
    <row r="6" spans="1:8">
      <c r="A6" t="s">
        <v>207</v>
      </c>
      <c r="B6" t="s">
        <v>208</v>
      </c>
      <c r="C6" s="10">
        <f>Encargos!C14</f>
        <v>2502541.9029999999</v>
      </c>
      <c r="D6" s="10">
        <f>Encargos!D14</f>
        <v>1391781.6787</v>
      </c>
      <c r="E6" s="10">
        <f>Encargos!E14</f>
        <v>1457966.2149999999</v>
      </c>
      <c r="F6" s="10">
        <f>Encargos!F14</f>
        <v>1667114.11</v>
      </c>
      <c r="G6" s="10">
        <f>Encargos!G14</f>
        <v>2605108.7999999998</v>
      </c>
      <c r="H6" s="10">
        <f>Encargos!H14</f>
        <v>2707587.8698559999</v>
      </c>
    </row>
    <row r="7" spans="1:8">
      <c r="A7" t="s">
        <v>213</v>
      </c>
      <c r="B7" t="s">
        <v>213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</row>
    <row r="8" spans="1:8">
      <c r="A8" t="s">
        <v>214</v>
      </c>
      <c r="B8" t="s">
        <v>215</v>
      </c>
      <c r="C8" s="10">
        <v>234084.36</v>
      </c>
      <c r="D8" s="10">
        <v>238109.79255524999</v>
      </c>
      <c r="E8" s="10">
        <v>229803.64</v>
      </c>
      <c r="F8" s="10">
        <v>287244.57</v>
      </c>
      <c r="G8" s="10">
        <v>337049.48</v>
      </c>
      <c r="H8" s="10">
        <v>359178.12712979998</v>
      </c>
    </row>
    <row r="9" spans="1:8">
      <c r="A9" t="s">
        <v>216</v>
      </c>
      <c r="B9" t="s">
        <v>217</v>
      </c>
      <c r="C9" s="10">
        <f>5843.01+31.59-279.26-19.88+12790.1</f>
        <v>18365.560000000001</v>
      </c>
      <c r="D9" s="10">
        <f>7433.65+5657.06+500.79+8433.26+4690.96+4292.43-19.36-55.3-69.24+1241292.5915+1684492.5422</f>
        <v>2956649.3837000001</v>
      </c>
      <c r="E9" s="10">
        <f>3126.2195-50.71-100.7-0.03+985303.196+5619.6+28367.05+5169.346</f>
        <v>1027433.9715</v>
      </c>
      <c r="F9" s="10">
        <f>6433.53+4425.44+757.95+872.33+1054.61+0.03+(-55.52)+(-103.8)</f>
        <v>13384.570000000002</v>
      </c>
      <c r="G9" s="10">
        <f>-50.23-97.16+6458.87+7262.76-1437.46+1930.52</f>
        <v>14067.3</v>
      </c>
      <c r="H9" s="10">
        <f>-134197.25-55.49-84.2+ 1907.78+295646.724</f>
        <v>163217.56399999998</v>
      </c>
    </row>
    <row r="10" spans="1:8" ht="15">
      <c r="A10" s="7" t="s">
        <v>218</v>
      </c>
      <c r="B10" s="7" t="s">
        <v>219</v>
      </c>
      <c r="C10" s="18">
        <f t="shared" ref="C10:H10" si="0">ROUND(SUM(C2:C9),4)</f>
        <v>49805479.540299997</v>
      </c>
      <c r="D10" s="18">
        <f t="shared" si="0"/>
        <v>35070451.0374</v>
      </c>
      <c r="E10" s="18">
        <f t="shared" si="0"/>
        <v>33570629.1074</v>
      </c>
      <c r="F10" s="18">
        <f t="shared" si="0"/>
        <v>39084725.226899996</v>
      </c>
      <c r="G10" s="18">
        <f t="shared" si="0"/>
        <v>36411561.137999997</v>
      </c>
      <c r="H10" s="18">
        <f t="shared" si="0"/>
        <v>45641018.462800004</v>
      </c>
    </row>
    <row r="12" spans="1:8" ht="15">
      <c r="A12" s="7" t="s">
        <v>131</v>
      </c>
      <c r="B12" s="7" t="s">
        <v>132</v>
      </c>
      <c r="C12" s="35">
        <f>'Volume Gás Adquirido'!D48</f>
        <v>23013306</v>
      </c>
      <c r="D12" s="35">
        <f>'Volume Gás Adquirido'!E48</f>
        <v>13963084</v>
      </c>
      <c r="E12" s="35">
        <f>'Volume Gás Adquirido'!F48</f>
        <v>15291529</v>
      </c>
      <c r="F12" s="35">
        <f>'Volume Gás Adquirido'!G48</f>
        <v>18658988</v>
      </c>
      <c r="G12" s="35">
        <f>'Volume Gás Adquirido'!H48</f>
        <v>17913037</v>
      </c>
      <c r="H12" s="35">
        <f>'Volume Gás Adquirido'!I48</f>
        <v>20052027</v>
      </c>
    </row>
    <row r="13" spans="1:8" ht="15">
      <c r="A13" s="7" t="s">
        <v>220</v>
      </c>
      <c r="B13" s="7" t="s">
        <v>221</v>
      </c>
      <c r="C13" s="87">
        <f t="shared" ref="C13:H13" si="1">ROUND(C10/C12,4)</f>
        <v>2.1642000000000001</v>
      </c>
      <c r="D13" s="87">
        <f t="shared" si="1"/>
        <v>2.5116999999999998</v>
      </c>
      <c r="E13" s="87">
        <f t="shared" si="1"/>
        <v>2.1953999999999998</v>
      </c>
      <c r="F13" s="64">
        <f t="shared" si="1"/>
        <v>2.0947</v>
      </c>
      <c r="G13" s="64">
        <f t="shared" si="1"/>
        <v>2.0327000000000002</v>
      </c>
      <c r="H13" s="64">
        <f t="shared" si="1"/>
        <v>2.2761</v>
      </c>
    </row>
  </sheetData>
  <phoneticPr fontId="40" type="noConversion"/>
  <pageMargins left="0.7" right="0.7" top="0.75" bottom="0.75" header="0.3" footer="0.3"/>
  <pageSetup paperSize="9" orientation="portrait" r:id="rId1"/>
  <headerFooter>
    <oddHeader>&amp;L&amp;"Calibri"&amp;10&amp;K000000 Interno&amp;1#_x000D_</oddHeader>
    <oddFooter>&amp;L_x000D_&amp;1#&amp;"Calibri"&amp;10&amp;K000000 Interno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AP43"/>
  <sheetViews>
    <sheetView zoomScaleNormal="100" workbookViewId="0">
      <pane xSplit="3" ySplit="1" topLeftCell="AB17" activePane="bottomRight" state="frozen"/>
      <selection pane="topRight" activeCell="E1" sqref="E1"/>
      <selection pane="bottomLeft" activeCell="A2" sqref="A2"/>
      <selection pane="bottomRight" activeCell="AE34" sqref="AE34"/>
    </sheetView>
  </sheetViews>
  <sheetFormatPr defaultRowHeight="14.25"/>
  <cols>
    <col min="1" max="1" width="20.25" bestFit="1" customWidth="1"/>
    <col min="3" max="3" width="45" customWidth="1"/>
    <col min="4" max="18" width="11.75" hidden="1" customWidth="1"/>
    <col min="19" max="21" width="11.75" customWidth="1"/>
    <col min="22" max="25" width="11.625" customWidth="1"/>
    <col min="26" max="26" width="10.125" bestFit="1" customWidth="1"/>
    <col min="27" max="28" width="15.125" bestFit="1" customWidth="1"/>
    <col min="29" max="30" width="14.125" bestFit="1" customWidth="1"/>
    <col min="31" max="33" width="15.125" bestFit="1" customWidth="1"/>
    <col min="34" max="34" width="11.25" bestFit="1" customWidth="1"/>
    <col min="35" max="35" width="13.125" customWidth="1"/>
    <col min="36" max="36" width="15.625" bestFit="1" customWidth="1"/>
    <col min="38" max="38" width="12.875" bestFit="1" customWidth="1"/>
  </cols>
  <sheetData>
    <row r="1" spans="1:42" ht="15">
      <c r="D1" s="84">
        <v>45261</v>
      </c>
      <c r="E1" s="84">
        <v>45292</v>
      </c>
      <c r="F1" s="84">
        <v>45323</v>
      </c>
      <c r="G1" s="84">
        <v>45352</v>
      </c>
      <c r="H1" s="84">
        <v>45383</v>
      </c>
      <c r="I1" s="84">
        <v>45413</v>
      </c>
      <c r="J1" s="84">
        <v>45444</v>
      </c>
      <c r="K1" s="84">
        <v>45474</v>
      </c>
      <c r="L1" s="84">
        <v>45505</v>
      </c>
      <c r="M1" s="84">
        <v>45536</v>
      </c>
      <c r="N1" s="84">
        <v>45566</v>
      </c>
      <c r="O1" s="84">
        <v>45597</v>
      </c>
      <c r="P1" s="84">
        <v>45627</v>
      </c>
      <c r="Q1" s="84">
        <v>45658</v>
      </c>
      <c r="R1" s="84">
        <v>45689</v>
      </c>
      <c r="S1" s="84">
        <v>45717</v>
      </c>
      <c r="T1" s="84">
        <v>45748</v>
      </c>
      <c r="U1" s="84">
        <v>45778</v>
      </c>
      <c r="V1" s="84">
        <v>45809</v>
      </c>
      <c r="W1" s="84">
        <v>45839</v>
      </c>
      <c r="X1" s="84">
        <v>45870</v>
      </c>
      <c r="Y1" s="84">
        <v>45901</v>
      </c>
      <c r="Z1" s="84">
        <v>45931</v>
      </c>
      <c r="AA1" s="84">
        <v>45962</v>
      </c>
      <c r="AB1" s="84">
        <v>45992</v>
      </c>
      <c r="AC1" s="84">
        <v>46023</v>
      </c>
      <c r="AD1" s="84">
        <v>46054</v>
      </c>
      <c r="AE1" s="84">
        <v>46082</v>
      </c>
      <c r="AF1" s="84">
        <v>46113</v>
      </c>
      <c r="AG1" s="84">
        <v>46143</v>
      </c>
    </row>
    <row r="2" spans="1:42" s="7" customFormat="1" ht="15">
      <c r="A2" t="s">
        <v>4</v>
      </c>
      <c r="B2" t="s">
        <v>222</v>
      </c>
      <c r="C2" s="7" t="s">
        <v>223</v>
      </c>
      <c r="D2" s="35">
        <f t="shared" ref="D2:O2" si="0">SUM(D3:D4)</f>
        <v>30589388.359999996</v>
      </c>
      <c r="E2" s="35">
        <f t="shared" si="0"/>
        <v>31275991.630000006</v>
      </c>
      <c r="F2" s="35">
        <f t="shared" si="0"/>
        <v>32325651.639999993</v>
      </c>
      <c r="G2" s="35">
        <f t="shared" si="0"/>
        <v>35450990.150000013</v>
      </c>
      <c r="H2" s="35">
        <f t="shared" si="0"/>
        <v>35328854.179999985</v>
      </c>
      <c r="I2" s="35">
        <f t="shared" si="0"/>
        <v>32705380.530000001</v>
      </c>
      <c r="J2" s="35">
        <f t="shared" si="0"/>
        <v>36981172.379999995</v>
      </c>
      <c r="K2" s="35">
        <f t="shared" si="0"/>
        <v>39036119.600000009</v>
      </c>
      <c r="L2" s="35">
        <f t="shared" si="0"/>
        <v>40148766.530000001</v>
      </c>
      <c r="M2" s="35">
        <f t="shared" si="0"/>
        <v>31045194.059999999</v>
      </c>
      <c r="N2" s="35">
        <f t="shared" si="0"/>
        <v>39836692.410000004</v>
      </c>
      <c r="O2" s="35">
        <f t="shared" si="0"/>
        <v>35146090.579999998</v>
      </c>
      <c r="P2" s="35">
        <f t="shared" ref="P2:U2" si="1">SUM(P3:P4)</f>
        <v>35404471.009599999</v>
      </c>
      <c r="Q2" s="35">
        <f t="shared" si="1"/>
        <v>33254678.5123</v>
      </c>
      <c r="R2" s="35">
        <f t="shared" si="1"/>
        <v>30536815.926899999</v>
      </c>
      <c r="S2" s="35">
        <f t="shared" si="1"/>
        <v>32661903.6708</v>
      </c>
      <c r="T2" s="35">
        <f t="shared" si="1"/>
        <v>30999892.773800001</v>
      </c>
      <c r="U2" s="35">
        <f t="shared" si="1"/>
        <v>32276910.1417</v>
      </c>
      <c r="V2" s="35">
        <f t="shared" ref="V2:AG2" si="2">SUM(V3:V4)</f>
        <v>35197053.645799994</v>
      </c>
      <c r="W2" s="35">
        <f t="shared" si="2"/>
        <v>35427563.048300005</v>
      </c>
      <c r="X2" s="35">
        <f t="shared" si="2"/>
        <v>22392849.409000002</v>
      </c>
      <c r="Y2" s="35">
        <f t="shared" si="2"/>
        <v>21754612.305999998</v>
      </c>
      <c r="Z2" s="35">
        <f t="shared" si="2"/>
        <v>21735420.321699999</v>
      </c>
      <c r="AA2" s="35">
        <f t="shared" si="2"/>
        <v>18698838.010000002</v>
      </c>
      <c r="AB2" s="35">
        <f t="shared" si="2"/>
        <v>16544881.84</v>
      </c>
      <c r="AC2" s="35">
        <f t="shared" si="2"/>
        <v>7362777.6061389986</v>
      </c>
      <c r="AD2" s="35">
        <f t="shared" si="2"/>
        <v>9984803.4979230016</v>
      </c>
      <c r="AE2" s="35">
        <f t="shared" si="2"/>
        <v>10608839.377</v>
      </c>
      <c r="AF2" s="35">
        <f t="shared" si="2"/>
        <v>12882677.351290099</v>
      </c>
      <c r="AG2" s="35">
        <f t="shared" si="2"/>
        <v>12691714.93030436</v>
      </c>
    </row>
    <row r="3" spans="1:42" ht="15">
      <c r="A3" t="s">
        <v>4</v>
      </c>
      <c r="B3" t="s">
        <v>224</v>
      </c>
      <c r="C3" t="s">
        <v>225</v>
      </c>
      <c r="D3" s="3">
        <v>30538183.359999996</v>
      </c>
      <c r="E3" s="3">
        <v>31224494.350000005</v>
      </c>
      <c r="F3" s="3">
        <v>32266127.389999993</v>
      </c>
      <c r="G3" s="3">
        <v>35399240.610000014</v>
      </c>
      <c r="H3" s="3">
        <v>35273361.569999985</v>
      </c>
      <c r="I3" s="3">
        <v>32660936.98</v>
      </c>
      <c r="J3" s="3">
        <v>36928219.149999999</v>
      </c>
      <c r="K3" s="3">
        <v>38979500.840000011</v>
      </c>
      <c r="L3" s="3">
        <f>40200297-L18</f>
        <v>40095763.600000001</v>
      </c>
      <c r="M3" s="3">
        <f>31031573-M18</f>
        <v>31008809.949999999</v>
      </c>
      <c r="N3" s="3">
        <f>39794338.14-N18</f>
        <v>39794338.140000001</v>
      </c>
      <c r="O3" s="3">
        <f>37099632-O18</f>
        <v>35105331.75</v>
      </c>
      <c r="P3" s="3">
        <v>35371393.154399998</v>
      </c>
      <c r="Q3" s="3">
        <v>33220720.644099999</v>
      </c>
      <c r="R3" s="3">
        <v>30510560.0834</v>
      </c>
      <c r="S3" s="3">
        <v>32635323.1655</v>
      </c>
      <c r="T3" s="3">
        <v>30970251.567400001</v>
      </c>
      <c r="U3" s="3">
        <v>32242193.966400001</v>
      </c>
      <c r="V3" s="3">
        <v>35171758.110299997</v>
      </c>
      <c r="W3" s="3">
        <v>35391808.281000003</v>
      </c>
      <c r="X3" s="3">
        <v>22354985.6708</v>
      </c>
      <c r="Y3" s="3">
        <v>21722194.715599999</v>
      </c>
      <c r="Z3" s="88">
        <v>21709816.342999998</v>
      </c>
      <c r="AA3" s="81">
        <v>18666965.75</v>
      </c>
      <c r="AB3" s="81">
        <v>16518657.57</v>
      </c>
      <c r="AC3" s="11">
        <v>7329255.6768723987</v>
      </c>
      <c r="AD3" s="11">
        <v>9962104.6968563013</v>
      </c>
      <c r="AE3" s="11">
        <v>10580697.921</v>
      </c>
      <c r="AF3" s="11">
        <v>12853370.858290099</v>
      </c>
      <c r="AG3" s="11">
        <v>12658800.378904359</v>
      </c>
      <c r="AH3" s="3"/>
      <c r="AI3" s="7"/>
      <c r="AJ3" s="7"/>
      <c r="AK3" s="7"/>
      <c r="AL3" s="3"/>
      <c r="AM3" s="3"/>
      <c r="AN3" s="3"/>
      <c r="AO3" s="3"/>
    </row>
    <row r="4" spans="1:42" ht="15">
      <c r="A4" t="s">
        <v>4</v>
      </c>
      <c r="B4" t="s">
        <v>224</v>
      </c>
      <c r="C4" t="s">
        <v>226</v>
      </c>
      <c r="D4" s="3">
        <v>51205</v>
      </c>
      <c r="E4" s="3">
        <v>51497.279999999999</v>
      </c>
      <c r="F4" s="3">
        <v>59524.25</v>
      </c>
      <c r="G4" s="3">
        <v>51749.539999999994</v>
      </c>
      <c r="H4" s="3">
        <v>55492.61</v>
      </c>
      <c r="I4" s="3">
        <v>44443.55</v>
      </c>
      <c r="J4" s="3">
        <v>52953.229999999996</v>
      </c>
      <c r="K4" s="3">
        <v>56618.76</v>
      </c>
      <c r="L4" s="3">
        <v>53002.93</v>
      </c>
      <c r="M4" s="3">
        <v>36384.11</v>
      </c>
      <c r="N4" s="3">
        <v>42354.270000000004</v>
      </c>
      <c r="O4" s="3">
        <v>40758.83</v>
      </c>
      <c r="P4" s="3">
        <v>33077.855199999998</v>
      </c>
      <c r="Q4" s="3">
        <v>33957.868199999997</v>
      </c>
      <c r="R4" s="3">
        <v>26255.843499999999</v>
      </c>
      <c r="S4" s="3">
        <v>26580.505300000001</v>
      </c>
      <c r="T4" s="3">
        <v>29641.206399999999</v>
      </c>
      <c r="U4" s="3">
        <v>34716.175300000003</v>
      </c>
      <c r="V4" s="3">
        <v>25295.535500000002</v>
      </c>
      <c r="W4" s="3">
        <v>35754.7673</v>
      </c>
      <c r="X4" s="3">
        <v>37863.7382</v>
      </c>
      <c r="Y4" s="3">
        <v>32417.590400000001</v>
      </c>
      <c r="Z4" s="3">
        <v>25603.9787</v>
      </c>
      <c r="AA4" s="81">
        <v>31872.26</v>
      </c>
      <c r="AB4" s="81">
        <v>26224.27</v>
      </c>
      <c r="AC4" s="11">
        <v>33521.929266600004</v>
      </c>
      <c r="AD4" s="11">
        <v>22698.801066700005</v>
      </c>
      <c r="AE4" s="11">
        <v>28141.455999999998</v>
      </c>
      <c r="AF4" s="11">
        <v>29306.492999999995</v>
      </c>
      <c r="AG4" s="11">
        <v>32914.551400000004</v>
      </c>
      <c r="AH4" s="3"/>
      <c r="AI4" s="7"/>
      <c r="AJ4" s="7"/>
      <c r="AK4" s="7"/>
      <c r="AL4" s="3"/>
      <c r="AM4" s="3"/>
      <c r="AN4" s="3"/>
      <c r="AO4" s="3"/>
    </row>
    <row r="5" spans="1:42" s="7" customFormat="1" ht="15">
      <c r="A5" t="s">
        <v>4</v>
      </c>
      <c r="B5" t="s">
        <v>222</v>
      </c>
      <c r="C5" s="7" t="s">
        <v>227</v>
      </c>
      <c r="D5" s="35">
        <f t="shared" ref="D5:O5" si="3">SUM(D6:D8)</f>
        <v>5082289.5200000005</v>
      </c>
      <c r="E5" s="35">
        <f t="shared" si="3"/>
        <v>4286457.8100000005</v>
      </c>
      <c r="F5" s="35">
        <f t="shared" si="3"/>
        <v>4114675.0300000007</v>
      </c>
      <c r="G5" s="35">
        <f t="shared" si="3"/>
        <v>4657994.17</v>
      </c>
      <c r="H5" s="35">
        <f t="shared" si="3"/>
        <v>3710378.15</v>
      </c>
      <c r="I5" s="35">
        <f t="shared" si="3"/>
        <v>3496831.4899999998</v>
      </c>
      <c r="J5" s="35">
        <f t="shared" si="3"/>
        <v>4016158.79</v>
      </c>
      <c r="K5" s="35">
        <f t="shared" si="3"/>
        <v>4040875.4699999997</v>
      </c>
      <c r="L5" s="35">
        <f t="shared" si="3"/>
        <v>4196869.47</v>
      </c>
      <c r="M5" s="35">
        <f t="shared" si="3"/>
        <v>4125444.96</v>
      </c>
      <c r="N5" s="35">
        <f t="shared" si="3"/>
        <v>4055999.91</v>
      </c>
      <c r="O5" s="35">
        <f t="shared" si="3"/>
        <v>4057688.6799999997</v>
      </c>
      <c r="P5" s="35">
        <f t="shared" ref="P5:X5" si="4">SUM(P6:P8)</f>
        <v>4153845.8654999998</v>
      </c>
      <c r="Q5" s="35">
        <f t="shared" si="4"/>
        <v>3759668.0095999995</v>
      </c>
      <c r="R5" s="35">
        <f t="shared" si="4"/>
        <v>3747089.1338999998</v>
      </c>
      <c r="S5" s="35">
        <f t="shared" si="4"/>
        <v>3984943.0713</v>
      </c>
      <c r="T5" s="35">
        <f t="shared" si="4"/>
        <v>3841087.1821000003</v>
      </c>
      <c r="U5" s="35">
        <f t="shared" si="4"/>
        <v>3856346.7091999999</v>
      </c>
      <c r="V5" s="35">
        <f t="shared" si="4"/>
        <v>3556139.8346000002</v>
      </c>
      <c r="W5" s="35">
        <f t="shared" si="4"/>
        <v>3722763.6741999998</v>
      </c>
      <c r="X5" s="35">
        <f t="shared" si="4"/>
        <v>3669369.3797999998</v>
      </c>
      <c r="Y5" s="35">
        <f t="shared" ref="Y5:AG5" si="5">SUM(Y6:Y8)</f>
        <v>3537577.4595999997</v>
      </c>
      <c r="Z5" s="35">
        <f t="shared" si="5"/>
        <v>3755392.9693999998</v>
      </c>
      <c r="AA5" s="35">
        <f t="shared" si="5"/>
        <v>3978027.62</v>
      </c>
      <c r="AB5" s="35">
        <f t="shared" si="5"/>
        <v>3921241.8200000003</v>
      </c>
      <c r="AC5" s="35">
        <f t="shared" si="5"/>
        <v>3617637.7636904013</v>
      </c>
      <c r="AD5" s="35">
        <f t="shared" si="5"/>
        <v>3485924.1267891019</v>
      </c>
      <c r="AE5" s="35">
        <f t="shared" si="5"/>
        <v>2819520.7909999993</v>
      </c>
      <c r="AF5" s="35">
        <f t="shared" si="5"/>
        <v>4026758.9408458015</v>
      </c>
      <c r="AG5" s="35">
        <f t="shared" si="5"/>
        <v>3406578.6222955994</v>
      </c>
    </row>
    <row r="6" spans="1:42" ht="15">
      <c r="A6" t="s">
        <v>4</v>
      </c>
      <c r="B6" t="s">
        <v>224</v>
      </c>
      <c r="C6" t="s">
        <v>228</v>
      </c>
      <c r="D6" s="3">
        <v>4526394.5200000005</v>
      </c>
      <c r="E6" s="3">
        <v>3790039.81</v>
      </c>
      <c r="F6" s="3">
        <v>3748699.9700000007</v>
      </c>
      <c r="G6" s="3">
        <v>4269873.17</v>
      </c>
      <c r="H6" s="3">
        <v>3437754.15</v>
      </c>
      <c r="I6" s="3">
        <v>3167631.4899999998</v>
      </c>
      <c r="J6" s="3">
        <v>3678806.79</v>
      </c>
      <c r="K6" s="3">
        <v>3706615.4699999997</v>
      </c>
      <c r="L6" s="3">
        <v>3852992.4699999997</v>
      </c>
      <c r="M6" s="3">
        <v>3792304.96</v>
      </c>
      <c r="N6" s="3">
        <v>3745137.91</v>
      </c>
      <c r="O6" s="3">
        <v>3688083.6799999997</v>
      </c>
      <c r="P6" s="3">
        <v>3754145.8243</v>
      </c>
      <c r="Q6" s="3">
        <v>3305215.1348999999</v>
      </c>
      <c r="R6" s="3">
        <v>3349949.4833999998</v>
      </c>
      <c r="S6" s="3">
        <v>3609965.9937999998</v>
      </c>
      <c r="T6" s="3">
        <v>3511383.0772000002</v>
      </c>
      <c r="U6" s="3">
        <v>3551275.7651999998</v>
      </c>
      <c r="V6" s="3">
        <v>3264190.9934</v>
      </c>
      <c r="W6" s="3">
        <v>3414034.8484999998</v>
      </c>
      <c r="X6" s="3">
        <v>3343042.3108999999</v>
      </c>
      <c r="Y6" s="3">
        <v>3229090.5343999998</v>
      </c>
      <c r="Z6" s="3">
        <v>3411886.9668999999</v>
      </c>
      <c r="AA6" s="11">
        <v>3675070.85</v>
      </c>
      <c r="AB6" s="81">
        <v>3524136.64</v>
      </c>
      <c r="AC6" s="10">
        <v>3214277.9630671013</v>
      </c>
      <c r="AD6" s="10">
        <v>3215183.3033113019</v>
      </c>
      <c r="AE6" s="10">
        <v>2470731.9909999995</v>
      </c>
      <c r="AF6" s="10">
        <v>3815515.4960687016</v>
      </c>
      <c r="AG6" s="10">
        <v>3116193.6671173992</v>
      </c>
      <c r="AH6" s="3"/>
      <c r="AI6" s="7"/>
      <c r="AJ6" s="7"/>
      <c r="AK6" s="7"/>
      <c r="AL6" s="3"/>
      <c r="AM6" s="3"/>
      <c r="AN6" s="3"/>
      <c r="AO6" s="3"/>
    </row>
    <row r="7" spans="1:42" ht="15">
      <c r="A7" t="s">
        <v>4</v>
      </c>
      <c r="B7" t="s">
        <v>224</v>
      </c>
      <c r="C7" t="s">
        <v>229</v>
      </c>
      <c r="D7" s="3">
        <v>22169</v>
      </c>
      <c r="E7" s="3">
        <v>17307</v>
      </c>
      <c r="F7" s="3">
        <v>17850</v>
      </c>
      <c r="G7" s="3">
        <v>18783</v>
      </c>
      <c r="H7" s="3">
        <v>14352</v>
      </c>
      <c r="I7" s="3">
        <v>13881</v>
      </c>
      <c r="J7" s="3">
        <v>15991</v>
      </c>
      <c r="K7" s="3">
        <v>16764</v>
      </c>
      <c r="L7" s="3">
        <v>15794</v>
      </c>
      <c r="M7" s="3">
        <v>13208</v>
      </c>
      <c r="N7" s="3">
        <v>13089</v>
      </c>
      <c r="O7" s="3">
        <v>14503</v>
      </c>
      <c r="P7" s="3">
        <v>14963.476500000001</v>
      </c>
      <c r="Q7" s="3">
        <v>16363.633900000001</v>
      </c>
      <c r="R7" s="3">
        <v>14268.208500000001</v>
      </c>
      <c r="S7" s="3">
        <v>17233.287199999999</v>
      </c>
      <c r="T7" s="3">
        <v>18710</v>
      </c>
      <c r="U7" s="3">
        <v>18558</v>
      </c>
      <c r="V7" s="3">
        <v>17906</v>
      </c>
      <c r="W7" s="3">
        <v>18090</v>
      </c>
      <c r="X7" s="3">
        <v>16846</v>
      </c>
      <c r="Y7" s="3">
        <v>17131.214599999999</v>
      </c>
      <c r="Z7" s="3">
        <v>16162.740400000001</v>
      </c>
      <c r="AA7" s="11">
        <v>12349.34</v>
      </c>
      <c r="AB7" s="81">
        <v>17631.650000000001</v>
      </c>
      <c r="AC7" s="10">
        <v>13936.5523799</v>
      </c>
      <c r="AD7" s="10">
        <v>9768.5383593000006</v>
      </c>
      <c r="AE7" s="10">
        <v>11328.23</v>
      </c>
      <c r="AF7" s="10">
        <v>79839.021228400001</v>
      </c>
      <c r="AG7" s="10">
        <v>44619.946657799999</v>
      </c>
      <c r="AH7" s="3"/>
      <c r="AI7" s="7"/>
      <c r="AJ7" s="7"/>
      <c r="AK7" s="7"/>
      <c r="AL7" s="3"/>
      <c r="AM7" s="3"/>
      <c r="AN7" s="3"/>
      <c r="AO7" s="3"/>
    </row>
    <row r="8" spans="1:42" ht="15">
      <c r="A8" t="s">
        <v>4</v>
      </c>
      <c r="B8" t="s">
        <v>224</v>
      </c>
      <c r="C8" t="s">
        <v>230</v>
      </c>
      <c r="D8" s="3">
        <v>533726</v>
      </c>
      <c r="E8" s="3">
        <v>479111</v>
      </c>
      <c r="F8" s="3">
        <v>348125.06</v>
      </c>
      <c r="G8" s="3">
        <v>369338</v>
      </c>
      <c r="H8" s="3">
        <v>258272</v>
      </c>
      <c r="I8" s="3">
        <v>315319</v>
      </c>
      <c r="J8" s="3">
        <v>321361</v>
      </c>
      <c r="K8" s="3">
        <v>317496</v>
      </c>
      <c r="L8" s="3">
        <v>328083</v>
      </c>
      <c r="M8" s="3">
        <v>319932</v>
      </c>
      <c r="N8" s="3">
        <v>297773</v>
      </c>
      <c r="O8" s="3">
        <v>355102</v>
      </c>
      <c r="P8" s="3">
        <v>384736.56469999999</v>
      </c>
      <c r="Q8" s="3">
        <v>438089.24080000003</v>
      </c>
      <c r="R8" s="3">
        <v>382871.44199999998</v>
      </c>
      <c r="S8" s="3">
        <v>357743.79029999999</v>
      </c>
      <c r="T8" s="3">
        <v>310994.10489999998</v>
      </c>
      <c r="U8" s="3">
        <v>286512.94400000002</v>
      </c>
      <c r="V8" s="3">
        <v>274042.84120000002</v>
      </c>
      <c r="W8" s="3">
        <v>290638.82569999999</v>
      </c>
      <c r="X8" s="3">
        <v>309481.06890000001</v>
      </c>
      <c r="Y8" s="3">
        <v>291355.71059999999</v>
      </c>
      <c r="Z8" s="3">
        <v>327343.26209999999</v>
      </c>
      <c r="AA8" s="11">
        <v>290607.43</v>
      </c>
      <c r="AB8" s="81">
        <v>379473.53</v>
      </c>
      <c r="AC8" s="10">
        <v>389423.24824340007</v>
      </c>
      <c r="AD8" s="10">
        <v>260972.28511850003</v>
      </c>
      <c r="AE8" s="10">
        <v>337460.57</v>
      </c>
      <c r="AF8" s="10">
        <v>131404.42354869994</v>
      </c>
      <c r="AG8" s="10">
        <v>245765.00852039998</v>
      </c>
      <c r="AH8" s="3"/>
      <c r="AI8" s="7"/>
      <c r="AJ8" s="7"/>
      <c r="AK8" s="7"/>
      <c r="AL8" s="3"/>
      <c r="AM8" s="3"/>
      <c r="AN8" s="3"/>
      <c r="AO8" s="3"/>
    </row>
    <row r="9" spans="1:42" s="7" customFormat="1" ht="15">
      <c r="A9" t="s">
        <v>4</v>
      </c>
      <c r="B9" t="s">
        <v>222</v>
      </c>
      <c r="C9" s="7" t="s">
        <v>231</v>
      </c>
      <c r="D9" s="35">
        <f t="shared" ref="D9:O9" si="6">SUM(D10:D12)</f>
        <v>690609.54000000271</v>
      </c>
      <c r="E9" s="35">
        <f t="shared" si="6"/>
        <v>609009.36999999976</v>
      </c>
      <c r="F9" s="35">
        <f t="shared" si="6"/>
        <v>363860.45000000054</v>
      </c>
      <c r="G9" s="35">
        <f t="shared" si="6"/>
        <v>636551.03900000069</v>
      </c>
      <c r="H9" s="35">
        <f t="shared" si="6"/>
        <v>812426.91000000061</v>
      </c>
      <c r="I9" s="35">
        <f t="shared" si="6"/>
        <v>830837.76000000071</v>
      </c>
      <c r="J9" s="35">
        <f t="shared" si="6"/>
        <v>1183275.2099999986</v>
      </c>
      <c r="K9" s="35">
        <f t="shared" si="6"/>
        <v>1463184.0299999989</v>
      </c>
      <c r="L9" s="35">
        <f t="shared" si="6"/>
        <v>1343545.5400000035</v>
      </c>
      <c r="M9" s="35">
        <f t="shared" si="6"/>
        <v>1350558.1800000009</v>
      </c>
      <c r="N9" s="35">
        <f t="shared" si="6"/>
        <v>1086066.3899999983</v>
      </c>
      <c r="O9" s="35">
        <f t="shared" si="6"/>
        <v>916837.8899999999</v>
      </c>
      <c r="P9" s="35">
        <f t="shared" ref="P9:X9" si="7">SUM(P10:P12)</f>
        <v>824875.78520000004</v>
      </c>
      <c r="Q9" s="35">
        <f t="shared" si="7"/>
        <v>661603.7132</v>
      </c>
      <c r="R9" s="35">
        <f t="shared" si="7"/>
        <v>540630.39559999993</v>
      </c>
      <c r="S9" s="35">
        <f t="shared" si="7"/>
        <v>701641.1192999999</v>
      </c>
      <c r="T9" s="35">
        <f t="shared" si="7"/>
        <v>1003584.075</v>
      </c>
      <c r="U9" s="35">
        <f t="shared" si="7"/>
        <v>1248960.3416000002</v>
      </c>
      <c r="V9" s="35">
        <f t="shared" si="7"/>
        <v>1651204.9493</v>
      </c>
      <c r="W9" s="35">
        <f t="shared" si="7"/>
        <v>1795169.3584999999</v>
      </c>
      <c r="X9" s="35">
        <f t="shared" si="7"/>
        <v>1711290.3344999999</v>
      </c>
      <c r="Y9" s="35">
        <f t="shared" ref="Y9:AG9" si="8">SUM(Y10:Y12)</f>
        <v>1456985.0951</v>
      </c>
      <c r="Z9" s="35">
        <f t="shared" si="8"/>
        <v>1243757.3509</v>
      </c>
      <c r="AA9" s="35">
        <f t="shared" si="8"/>
        <v>1094860.8899999999</v>
      </c>
      <c r="AB9" s="35">
        <f t="shared" si="8"/>
        <v>752302.02999999991</v>
      </c>
      <c r="AC9" s="35">
        <f t="shared" si="8"/>
        <v>603939.10779380356</v>
      </c>
      <c r="AD9" s="35">
        <f t="shared" si="8"/>
        <v>638001.10839659895</v>
      </c>
      <c r="AE9" s="35">
        <f t="shared" si="8"/>
        <v>879090.39300000016</v>
      </c>
      <c r="AF9" s="35">
        <f t="shared" si="8"/>
        <v>1007568.0992014982</v>
      </c>
      <c r="AG9" s="35">
        <f t="shared" si="8"/>
        <v>1609425.388228999</v>
      </c>
      <c r="AH9" s="67"/>
    </row>
    <row r="10" spans="1:42" ht="15">
      <c r="A10" t="s">
        <v>4</v>
      </c>
      <c r="B10" t="s">
        <v>224</v>
      </c>
      <c r="C10" s="6" t="s">
        <v>232</v>
      </c>
      <c r="D10" s="3">
        <v>688023.88000000268</v>
      </c>
      <c r="E10" s="3">
        <v>606970.61999999976</v>
      </c>
      <c r="F10" s="3">
        <v>362540.94000000053</v>
      </c>
      <c r="G10" s="3">
        <v>634057.53900000069</v>
      </c>
      <c r="H10" s="3">
        <v>809284.57000000065</v>
      </c>
      <c r="I10" s="3">
        <v>827045.80000000075</v>
      </c>
      <c r="J10" s="3">
        <v>1178220.0099999986</v>
      </c>
      <c r="K10" s="3">
        <v>1456316.0499999989</v>
      </c>
      <c r="L10" s="3">
        <v>1338078.5300000035</v>
      </c>
      <c r="M10" s="3">
        <v>1345514.6900000009</v>
      </c>
      <c r="N10" s="3">
        <v>1082485.8699999982</v>
      </c>
      <c r="O10" s="3">
        <v>913645.29999999993</v>
      </c>
      <c r="P10" s="3">
        <v>821811.8432</v>
      </c>
      <c r="Q10" s="3">
        <v>659305.28650000005</v>
      </c>
      <c r="R10" s="3">
        <v>538890.14529999997</v>
      </c>
      <c r="S10" s="3">
        <v>700614.68669999996</v>
      </c>
      <c r="T10" s="3">
        <v>1000158.8154</v>
      </c>
      <c r="U10" s="3">
        <v>1244839.9239000001</v>
      </c>
      <c r="V10" s="3">
        <v>1645460.7892</v>
      </c>
      <c r="W10" s="3">
        <v>1788447.7494999999</v>
      </c>
      <c r="X10" s="3">
        <v>1704628.3478999999</v>
      </c>
      <c r="Y10" s="3">
        <v>1448046.3075000001</v>
      </c>
      <c r="Z10" s="3">
        <v>1235848.4140999999</v>
      </c>
      <c r="AA10" s="11">
        <v>1082006.93</v>
      </c>
      <c r="AB10" s="81">
        <v>747156.95</v>
      </c>
      <c r="AC10" s="10">
        <v>599088.13177690364</v>
      </c>
      <c r="AD10" s="10">
        <v>623874.91117009893</v>
      </c>
      <c r="AE10" s="10">
        <v>860156.03300000017</v>
      </c>
      <c r="AF10" s="10">
        <v>986720.53631699819</v>
      </c>
      <c r="AG10" s="10">
        <v>1599556.3816484991</v>
      </c>
      <c r="AH10" s="3"/>
      <c r="AI10" s="7"/>
      <c r="AJ10" s="7"/>
      <c r="AK10" s="7"/>
      <c r="AL10" s="3"/>
      <c r="AM10" s="3"/>
      <c r="AN10" s="3"/>
      <c r="AO10" s="3"/>
      <c r="AP10" s="3"/>
    </row>
    <row r="11" spans="1:42" ht="15">
      <c r="A11" t="s">
        <v>4</v>
      </c>
      <c r="B11" t="s">
        <v>224</v>
      </c>
      <c r="C11" s="6" t="s">
        <v>233</v>
      </c>
      <c r="D11" s="3">
        <v>2585.6599999999989</v>
      </c>
      <c r="E11" s="3">
        <v>2038.75</v>
      </c>
      <c r="F11" s="3">
        <v>1319.5100000000002</v>
      </c>
      <c r="G11" s="3">
        <v>2493.4999999999995</v>
      </c>
      <c r="H11" s="3">
        <v>3142.3400000000006</v>
      </c>
      <c r="I11" s="3">
        <v>3791.96</v>
      </c>
      <c r="J11" s="3">
        <v>5055.2000000000007</v>
      </c>
      <c r="K11" s="3">
        <v>6867.9800000000014</v>
      </c>
      <c r="L11" s="3">
        <v>5467.01</v>
      </c>
      <c r="M11" s="3">
        <v>5043.4899999999989</v>
      </c>
      <c r="N11" s="3">
        <v>3580.52</v>
      </c>
      <c r="O11" s="3">
        <v>3192.5899999999997</v>
      </c>
      <c r="P11" s="3">
        <v>3063.942</v>
      </c>
      <c r="Q11" s="3">
        <v>2298.4267</v>
      </c>
      <c r="R11" s="3">
        <v>1740.2502999999999</v>
      </c>
      <c r="S11" s="3">
        <v>1026.4326000000001</v>
      </c>
      <c r="T11" s="3">
        <v>3425.2595999999999</v>
      </c>
      <c r="U11" s="3">
        <v>4120.4177</v>
      </c>
      <c r="V11" s="3">
        <v>5744.1601000000001</v>
      </c>
      <c r="W11" s="3">
        <v>6721.6090000000004</v>
      </c>
      <c r="X11" s="3">
        <v>5830.3858</v>
      </c>
      <c r="Y11" s="3">
        <v>5043.1076000000003</v>
      </c>
      <c r="Z11" s="3">
        <v>4508.3779000000004</v>
      </c>
      <c r="AA11" s="11">
        <v>3321.65</v>
      </c>
      <c r="AB11" s="81">
        <v>2954.62</v>
      </c>
      <c r="AC11" s="10">
        <v>2014.1555431000004</v>
      </c>
      <c r="AD11" s="10">
        <v>2156.6535601000005</v>
      </c>
      <c r="AE11" s="10">
        <v>3595.8219999999988</v>
      </c>
      <c r="AF11" s="10">
        <v>3274.0691566999999</v>
      </c>
      <c r="AG11" s="10">
        <v>5814.6276867999986</v>
      </c>
      <c r="AH11" s="3"/>
      <c r="AI11" s="7"/>
      <c r="AJ11" s="7"/>
      <c r="AK11" s="7"/>
      <c r="AL11" s="3"/>
      <c r="AM11" s="3"/>
      <c r="AN11" s="3"/>
      <c r="AO11" s="3"/>
      <c r="AP11" s="3"/>
    </row>
    <row r="12" spans="1:42" ht="15">
      <c r="A12" t="s">
        <v>4</v>
      </c>
      <c r="B12" t="s">
        <v>224</v>
      </c>
      <c r="C12" s="6" t="s">
        <v>234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831.60080000000005</v>
      </c>
      <c r="Y12" s="3">
        <v>3895.68</v>
      </c>
      <c r="Z12" s="3">
        <v>3400.5589</v>
      </c>
      <c r="AA12" s="11">
        <v>9532.31</v>
      </c>
      <c r="AB12" s="81">
        <v>2190.46</v>
      </c>
      <c r="AC12" s="10">
        <v>2836.8204738000027</v>
      </c>
      <c r="AD12" s="10">
        <v>11969.543666400012</v>
      </c>
      <c r="AE12" s="10">
        <v>15338.537999999995</v>
      </c>
      <c r="AF12" s="10">
        <v>17573.493727799982</v>
      </c>
      <c r="AG12" s="10">
        <v>4054.3788936999995</v>
      </c>
      <c r="AH12" s="3"/>
      <c r="AI12" s="7"/>
      <c r="AJ12" s="7"/>
      <c r="AK12" s="7"/>
      <c r="AL12" s="3"/>
      <c r="AM12" s="3"/>
      <c r="AN12" s="3"/>
      <c r="AO12" s="3"/>
      <c r="AP12" s="3"/>
    </row>
    <row r="13" spans="1:42" s="7" customFormat="1" ht="15">
      <c r="A13" t="s">
        <v>4</v>
      </c>
      <c r="B13" t="s">
        <v>222</v>
      </c>
      <c r="C13" s="7" t="s">
        <v>235</v>
      </c>
      <c r="D13" s="35">
        <v>1214293.2200000018</v>
      </c>
      <c r="E13" s="35">
        <v>1172164.1000000008</v>
      </c>
      <c r="F13" s="35">
        <v>1071593.3099999994</v>
      </c>
      <c r="G13" s="35">
        <v>1186742.5200000021</v>
      </c>
      <c r="H13" s="35">
        <v>1393730.2700000009</v>
      </c>
      <c r="I13" s="35">
        <v>1271255.5699999984</v>
      </c>
      <c r="J13" s="35">
        <v>1538866.17</v>
      </c>
      <c r="K13" s="35">
        <v>1739399.8900000001</v>
      </c>
      <c r="L13" s="35">
        <v>1742457.2500000005</v>
      </c>
      <c r="M13" s="35">
        <v>1646103.919999999</v>
      </c>
      <c r="N13" s="35">
        <v>1498999.0500000012</v>
      </c>
      <c r="O13" s="35">
        <v>1397154.5500000017</v>
      </c>
      <c r="P13" s="35">
        <v>1377025.1122000001</v>
      </c>
      <c r="Q13" s="35">
        <v>1274839.5771999999</v>
      </c>
      <c r="R13" s="35">
        <v>1154671.2577</v>
      </c>
      <c r="S13" s="35">
        <v>1313144.5752999999</v>
      </c>
      <c r="T13" s="35">
        <v>1474021.8914000001</v>
      </c>
      <c r="U13" s="35">
        <v>1627248.9006000001</v>
      </c>
      <c r="V13" s="35">
        <v>1880234.6936999999</v>
      </c>
      <c r="W13" s="35">
        <v>1934741.6266000001</v>
      </c>
      <c r="X13" s="35">
        <v>1916705.2191999999</v>
      </c>
      <c r="Y13" s="35">
        <v>1693298.6532999999</v>
      </c>
      <c r="Z13" s="35">
        <v>1553803.9251000001</v>
      </c>
      <c r="AA13" s="82">
        <v>1145409.8799999999</v>
      </c>
      <c r="AB13" s="83">
        <v>1898802.98</v>
      </c>
      <c r="AC13" s="18">
        <v>1159005.5187365012</v>
      </c>
      <c r="AD13" s="18">
        <v>1533541.3398054999</v>
      </c>
      <c r="AE13" s="18">
        <v>1426523.5819999985</v>
      </c>
      <c r="AF13" s="18">
        <v>1390968.9461644012</v>
      </c>
      <c r="AG13" s="18">
        <v>1769200.0793933002</v>
      </c>
      <c r="AH13" s="3"/>
      <c r="AL13" s="3"/>
      <c r="AM13" s="3"/>
      <c r="AN13" s="3"/>
      <c r="AO13" s="3"/>
      <c r="AP13" s="3"/>
    </row>
    <row r="14" spans="1:42" s="7" customFormat="1" ht="15">
      <c r="A14" t="s">
        <v>4</v>
      </c>
      <c r="B14" t="s">
        <v>222</v>
      </c>
      <c r="C14" s="8" t="s">
        <v>236</v>
      </c>
      <c r="D14" s="35">
        <v>312660.89</v>
      </c>
      <c r="E14" s="35">
        <v>301150.96999999986</v>
      </c>
      <c r="F14" s="35">
        <v>277274.52999999991</v>
      </c>
      <c r="G14" s="35">
        <v>275908.42</v>
      </c>
      <c r="H14" s="35">
        <v>242798.02999999997</v>
      </c>
      <c r="I14" s="35">
        <v>291115.88999999996</v>
      </c>
      <c r="J14" s="35">
        <v>201725.10999999996</v>
      </c>
      <c r="K14" s="35">
        <v>306122.68999999994</v>
      </c>
      <c r="L14" s="35">
        <v>276055.89000000013</v>
      </c>
      <c r="M14" s="35">
        <v>247599.57</v>
      </c>
      <c r="N14" s="35">
        <v>348388.74</v>
      </c>
      <c r="O14" s="35">
        <v>214194.39</v>
      </c>
      <c r="P14" s="35">
        <v>356808.91759999999</v>
      </c>
      <c r="Q14" s="35">
        <v>293190.84740000003</v>
      </c>
      <c r="R14" s="35">
        <v>284356.5747</v>
      </c>
      <c r="S14" s="35">
        <v>234688.2218</v>
      </c>
      <c r="T14" s="35">
        <v>262764.12459999998</v>
      </c>
      <c r="U14" s="35">
        <v>227600.42050000001</v>
      </c>
      <c r="V14" s="35">
        <v>134976.91380000001</v>
      </c>
      <c r="W14" s="35">
        <v>248226.36869999999</v>
      </c>
      <c r="X14" s="35">
        <v>234863.6158</v>
      </c>
      <c r="Y14" s="35">
        <v>256362.10709999999</v>
      </c>
      <c r="Z14" s="35">
        <v>230354.4638</v>
      </c>
      <c r="AA14" s="82">
        <v>237855.89</v>
      </c>
      <c r="AB14" s="83">
        <v>186216.53</v>
      </c>
      <c r="AC14" s="18">
        <v>275440.53044869995</v>
      </c>
      <c r="AD14" s="18">
        <v>208951.20761750004</v>
      </c>
      <c r="AE14" s="18">
        <v>154743.49900000001</v>
      </c>
      <c r="AF14" s="18">
        <v>237539.97840050003</v>
      </c>
      <c r="AG14" s="18">
        <v>303703.78798620001</v>
      </c>
      <c r="AH14" s="3"/>
      <c r="AL14" s="3"/>
      <c r="AM14" s="3"/>
      <c r="AN14" s="3"/>
      <c r="AO14" s="3"/>
      <c r="AP14" s="3"/>
    </row>
    <row r="15" spans="1:42" s="7" customFormat="1" ht="15">
      <c r="A15" t="s">
        <v>4</v>
      </c>
      <c r="B15" t="s">
        <v>237</v>
      </c>
      <c r="C15" s="7" t="s">
        <v>238</v>
      </c>
      <c r="D15" s="35">
        <f t="shared" ref="D15:O15" si="9">SUM(D2,D5,D9,D13,D14)</f>
        <v>37889241.529999994</v>
      </c>
      <c r="E15" s="35">
        <f t="shared" si="9"/>
        <v>37644773.880000003</v>
      </c>
      <c r="F15" s="35">
        <f t="shared" si="9"/>
        <v>38153054.960000001</v>
      </c>
      <c r="G15" s="35">
        <f t="shared" si="9"/>
        <v>42208186.299000017</v>
      </c>
      <c r="H15" s="35">
        <f t="shared" si="9"/>
        <v>41488187.539999992</v>
      </c>
      <c r="I15" s="35">
        <f t="shared" si="9"/>
        <v>38595421.240000002</v>
      </c>
      <c r="J15" s="35">
        <f t="shared" si="9"/>
        <v>43921197.659999996</v>
      </c>
      <c r="K15" s="35">
        <f t="shared" si="9"/>
        <v>46585701.680000007</v>
      </c>
      <c r="L15" s="35">
        <f t="shared" si="9"/>
        <v>47707694.680000007</v>
      </c>
      <c r="M15" s="35">
        <f t="shared" si="9"/>
        <v>38414900.689999998</v>
      </c>
      <c r="N15" s="35">
        <f t="shared" si="9"/>
        <v>46826146.500000015</v>
      </c>
      <c r="O15" s="35">
        <f t="shared" si="9"/>
        <v>41731966.090000004</v>
      </c>
      <c r="P15" s="35">
        <f t="shared" ref="P15:U15" si="10">SUM(P2,P5,P9,P13,P14)</f>
        <v>42117026.690099999</v>
      </c>
      <c r="Q15" s="35">
        <f t="shared" si="10"/>
        <v>39243980.659700006</v>
      </c>
      <c r="R15" s="35">
        <f t="shared" si="10"/>
        <v>36263563.288800001</v>
      </c>
      <c r="S15" s="35">
        <f t="shared" si="10"/>
        <v>38896320.658500001</v>
      </c>
      <c r="T15" s="35">
        <f t="shared" si="10"/>
        <v>37581350.046900004</v>
      </c>
      <c r="U15" s="35">
        <f t="shared" si="10"/>
        <v>39237066.513600007</v>
      </c>
      <c r="V15" s="35">
        <f t="shared" ref="V15:AG15" si="11">SUM(V2,V5,V9,V13,V14)</f>
        <v>42419610.037199996</v>
      </c>
      <c r="W15" s="35">
        <f t="shared" si="11"/>
        <v>43128464.076299995</v>
      </c>
      <c r="X15" s="35">
        <f t="shared" si="11"/>
        <v>29925077.958300002</v>
      </c>
      <c r="Y15" s="35">
        <f t="shared" si="11"/>
        <v>28698835.621099994</v>
      </c>
      <c r="Z15" s="35">
        <f t="shared" si="11"/>
        <v>28518729.030899994</v>
      </c>
      <c r="AA15" s="35">
        <f>(SUM(AA2,AA5,AA9,AA13,AA14))</f>
        <v>25154992.290000003</v>
      </c>
      <c r="AB15" s="35">
        <f>SUM(AB2,AB5,AB9,AB13,AB14)</f>
        <v>23303445.200000003</v>
      </c>
      <c r="AC15" s="35">
        <f t="shared" si="11"/>
        <v>13018800.526808405</v>
      </c>
      <c r="AD15" s="35">
        <f t="shared" si="11"/>
        <v>15851221.280531704</v>
      </c>
      <c r="AE15" s="35">
        <f t="shared" si="11"/>
        <v>15888717.641999999</v>
      </c>
      <c r="AF15" s="35">
        <f t="shared" si="11"/>
        <v>19545513.3159023</v>
      </c>
      <c r="AG15" s="35">
        <f t="shared" si="11"/>
        <v>19780622.808208458</v>
      </c>
      <c r="AL15" s="67"/>
    </row>
    <row r="16" spans="1:42" ht="15">
      <c r="L16" s="3"/>
      <c r="M16" s="3"/>
      <c r="N16" s="3"/>
      <c r="O16" s="3"/>
      <c r="AI16" s="7"/>
      <c r="AJ16" s="7"/>
      <c r="AK16" s="7"/>
    </row>
    <row r="17" spans="1:38" s="7" customFormat="1" ht="15">
      <c r="A17" t="s">
        <v>51</v>
      </c>
      <c r="B17" s="7" t="s">
        <v>239</v>
      </c>
      <c r="C17" s="7" t="s">
        <v>223</v>
      </c>
      <c r="D17" s="35">
        <f t="shared" ref="D17:O17" si="12">SUM(D18:D19)</f>
        <v>9108</v>
      </c>
      <c r="E17" s="35">
        <f t="shared" si="12"/>
        <v>35061</v>
      </c>
      <c r="F17" s="35">
        <f t="shared" si="12"/>
        <v>2654114</v>
      </c>
      <c r="G17" s="35">
        <f t="shared" si="12"/>
        <v>2528</v>
      </c>
      <c r="H17" s="35">
        <f t="shared" si="12"/>
        <v>54656</v>
      </c>
      <c r="I17" s="35">
        <f t="shared" si="12"/>
        <v>0</v>
      </c>
      <c r="J17" s="35">
        <f t="shared" si="12"/>
        <v>886362</v>
      </c>
      <c r="K17" s="35">
        <f t="shared" si="12"/>
        <v>1579337</v>
      </c>
      <c r="L17" s="35">
        <f t="shared" si="12"/>
        <v>104533.4</v>
      </c>
      <c r="M17" s="35">
        <f t="shared" si="12"/>
        <v>22763.05</v>
      </c>
      <c r="N17" s="35">
        <f t="shared" si="12"/>
        <v>0</v>
      </c>
      <c r="O17" s="35">
        <f t="shared" si="12"/>
        <v>1994300.25</v>
      </c>
      <c r="P17" s="35">
        <f t="shared" ref="P17:U17" si="13">SUM(P18:P19)</f>
        <v>140362.5</v>
      </c>
      <c r="Q17" s="35">
        <f t="shared" si="13"/>
        <v>0</v>
      </c>
      <c r="R17" s="35">
        <f t="shared" si="13"/>
        <v>4449</v>
      </c>
      <c r="S17" s="35">
        <f t="shared" si="13"/>
        <v>11192.75</v>
      </c>
      <c r="T17" s="35">
        <f t="shared" si="13"/>
        <v>127494.25</v>
      </c>
      <c r="U17" s="35">
        <f t="shared" si="13"/>
        <v>8753</v>
      </c>
      <c r="V17" s="35">
        <f t="shared" ref="V17:AA17" si="14">SUM(V18:V19)</f>
        <v>6601</v>
      </c>
      <c r="W17" s="35">
        <f t="shared" si="14"/>
        <v>119050</v>
      </c>
      <c r="X17" s="35">
        <f t="shared" si="14"/>
        <v>177829.85</v>
      </c>
      <c r="Y17" s="35">
        <f>SUM(Y18:Y19)</f>
        <v>40972.400000000001</v>
      </c>
      <c r="Z17" s="35">
        <f t="shared" si="14"/>
        <v>9342.4269999999997</v>
      </c>
      <c r="AA17" s="35">
        <f t="shared" si="14"/>
        <v>15959.423000000001</v>
      </c>
      <c r="AB17" s="35">
        <f t="shared" ref="AB17:AG17" si="15">SUM(AB18:AB19)</f>
        <v>7403.9409999999998</v>
      </c>
      <c r="AC17" s="35">
        <f t="shared" si="15"/>
        <v>0</v>
      </c>
      <c r="AD17" s="35">
        <f t="shared" si="15"/>
        <v>0</v>
      </c>
      <c r="AE17" s="35">
        <f t="shared" si="15"/>
        <v>1620</v>
      </c>
      <c r="AF17" s="35">
        <f t="shared" si="15"/>
        <v>1074.9000000000001</v>
      </c>
      <c r="AG17" s="35">
        <f t="shared" si="15"/>
        <v>86047.3</v>
      </c>
      <c r="AL17" s="67"/>
    </row>
    <row r="18" spans="1:38" ht="15">
      <c r="A18" t="s">
        <v>51</v>
      </c>
      <c r="B18" t="s">
        <v>240</v>
      </c>
      <c r="C18" t="s">
        <v>225</v>
      </c>
      <c r="D18" s="3">
        <v>9108</v>
      </c>
      <c r="E18" s="3">
        <v>35061</v>
      </c>
      <c r="F18" s="3">
        <v>2654114</v>
      </c>
      <c r="G18" s="3">
        <v>2528</v>
      </c>
      <c r="H18" s="3">
        <v>54656</v>
      </c>
      <c r="I18" s="3">
        <v>0</v>
      </c>
      <c r="J18" s="3">
        <v>886362</v>
      </c>
      <c r="K18" s="3">
        <v>1579337</v>
      </c>
      <c r="L18" s="3">
        <v>104533.4</v>
      </c>
      <c r="M18" s="3">
        <v>22763.05</v>
      </c>
      <c r="N18" s="3">
        <v>0</v>
      </c>
      <c r="O18" s="3">
        <v>1994300.25</v>
      </c>
      <c r="P18" s="3">
        <v>140362.5</v>
      </c>
      <c r="Q18">
        <v>0</v>
      </c>
      <c r="R18" s="3">
        <v>4449</v>
      </c>
      <c r="S18" s="3">
        <v>11192.75</v>
      </c>
      <c r="T18" s="3">
        <v>127494.25</v>
      </c>
      <c r="U18" s="3">
        <v>8753</v>
      </c>
      <c r="V18" s="3">
        <v>6601</v>
      </c>
      <c r="W18" s="3">
        <v>119050</v>
      </c>
      <c r="X18" s="3">
        <v>177829.85</v>
      </c>
      <c r="Y18" s="3">
        <v>40972.400000000001</v>
      </c>
      <c r="Z18" s="3">
        <f>6545.7908+2796.6362</f>
        <v>9342.4269999999997</v>
      </c>
      <c r="AA18" s="3">
        <v>15959.423000000001</v>
      </c>
      <c r="AB18" s="3">
        <v>7403.9409999999998</v>
      </c>
      <c r="AC18" s="3">
        <v>0</v>
      </c>
      <c r="AD18" s="3">
        <v>0</v>
      </c>
      <c r="AE18" s="3">
        <v>1620</v>
      </c>
      <c r="AF18" s="3">
        <v>1074.9000000000001</v>
      </c>
      <c r="AG18" s="3">
        <v>86047.3</v>
      </c>
      <c r="AI18" s="7"/>
      <c r="AJ18" s="7"/>
      <c r="AK18" s="7"/>
      <c r="AL18" s="5"/>
    </row>
    <row r="19" spans="1:38" ht="15">
      <c r="A19" t="s">
        <v>51</v>
      </c>
      <c r="B19" t="s">
        <v>240</v>
      </c>
      <c r="C19" t="s">
        <v>226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I19" s="7"/>
      <c r="AJ19" s="7"/>
      <c r="AK19" s="7"/>
      <c r="AL19" s="5"/>
    </row>
    <row r="20" spans="1:38" s="7" customFormat="1" ht="15">
      <c r="A20" t="s">
        <v>51</v>
      </c>
      <c r="B20" s="7" t="s">
        <v>239</v>
      </c>
      <c r="C20" s="7" t="s">
        <v>227</v>
      </c>
      <c r="D20" s="35">
        <f t="shared" ref="D20:O20" si="16">SUM(D21:D23)</f>
        <v>0</v>
      </c>
      <c r="E20" s="35">
        <f t="shared" si="16"/>
        <v>0</v>
      </c>
      <c r="F20" s="35">
        <f t="shared" si="16"/>
        <v>0</v>
      </c>
      <c r="G20" s="35">
        <f t="shared" si="16"/>
        <v>0</v>
      </c>
      <c r="H20" s="35">
        <f t="shared" si="16"/>
        <v>0</v>
      </c>
      <c r="I20" s="35">
        <f t="shared" si="16"/>
        <v>0</v>
      </c>
      <c r="J20" s="35">
        <f t="shared" si="16"/>
        <v>0</v>
      </c>
      <c r="K20" s="35">
        <f t="shared" si="16"/>
        <v>0</v>
      </c>
      <c r="L20" s="35">
        <f t="shared" si="16"/>
        <v>0</v>
      </c>
      <c r="M20" s="35">
        <f t="shared" si="16"/>
        <v>0</v>
      </c>
      <c r="N20" s="35">
        <f t="shared" si="16"/>
        <v>0</v>
      </c>
      <c r="O20" s="35">
        <f t="shared" si="16"/>
        <v>0</v>
      </c>
      <c r="P20" s="35">
        <f t="shared" ref="P20:U20" si="17">SUM(P21:P23)</f>
        <v>0</v>
      </c>
      <c r="Q20" s="35">
        <f t="shared" si="17"/>
        <v>0</v>
      </c>
      <c r="R20" s="35">
        <f t="shared" si="17"/>
        <v>0</v>
      </c>
      <c r="S20" s="35">
        <f t="shared" si="17"/>
        <v>0</v>
      </c>
      <c r="T20" s="35">
        <f t="shared" si="17"/>
        <v>0</v>
      </c>
      <c r="U20" s="35">
        <f t="shared" si="17"/>
        <v>0</v>
      </c>
      <c r="V20" s="35">
        <f t="shared" ref="V20:AA20" si="18">SUM(V21:V23)</f>
        <v>0</v>
      </c>
      <c r="W20" s="35">
        <f t="shared" si="18"/>
        <v>0</v>
      </c>
      <c r="X20" s="35">
        <f t="shared" si="18"/>
        <v>0</v>
      </c>
      <c r="Y20" s="35">
        <f t="shared" si="18"/>
        <v>0</v>
      </c>
      <c r="Z20" s="35">
        <f t="shared" si="18"/>
        <v>0</v>
      </c>
      <c r="AA20" s="35">
        <f t="shared" si="18"/>
        <v>0</v>
      </c>
      <c r="AB20" s="35">
        <f t="shared" ref="AB20:AG20" si="19">SUM(AB21:AB23)</f>
        <v>0</v>
      </c>
      <c r="AC20" s="35">
        <f t="shared" si="19"/>
        <v>0</v>
      </c>
      <c r="AD20" s="35">
        <f t="shared" si="19"/>
        <v>0</v>
      </c>
      <c r="AE20" s="35">
        <f t="shared" si="19"/>
        <v>0</v>
      </c>
      <c r="AF20" s="35">
        <f t="shared" si="19"/>
        <v>0</v>
      </c>
      <c r="AG20" s="35">
        <f t="shared" si="19"/>
        <v>0</v>
      </c>
      <c r="AL20" s="67"/>
    </row>
    <row r="21" spans="1:38" ht="15">
      <c r="A21" t="s">
        <v>51</v>
      </c>
      <c r="B21" t="s">
        <v>240</v>
      </c>
      <c r="C21" t="s">
        <v>228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I21" s="7"/>
      <c r="AJ21" s="7"/>
      <c r="AK21" s="7"/>
      <c r="AL21" s="5"/>
    </row>
    <row r="22" spans="1:38" ht="15">
      <c r="A22" t="s">
        <v>51</v>
      </c>
      <c r="B22" t="s">
        <v>240</v>
      </c>
      <c r="C22" t="s">
        <v>229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I22" s="7"/>
      <c r="AJ22" s="7"/>
      <c r="AK22" s="7"/>
      <c r="AL22" s="5"/>
    </row>
    <row r="23" spans="1:38" ht="15">
      <c r="A23" t="s">
        <v>51</v>
      </c>
      <c r="B23" t="s">
        <v>240</v>
      </c>
      <c r="C23" t="s">
        <v>230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I23" s="7"/>
      <c r="AJ23" s="7"/>
      <c r="AK23" s="7"/>
      <c r="AL23" s="5"/>
    </row>
    <row r="24" spans="1:38" s="7" customFormat="1" ht="15">
      <c r="A24" t="s">
        <v>51</v>
      </c>
      <c r="B24" s="7" t="s">
        <v>239</v>
      </c>
      <c r="C24" s="7" t="s">
        <v>231</v>
      </c>
      <c r="D24" s="35">
        <f t="shared" ref="D24:O24" si="20">SUM(D25:D27)</f>
        <v>0</v>
      </c>
      <c r="E24" s="35">
        <f t="shared" si="20"/>
        <v>0</v>
      </c>
      <c r="F24" s="35">
        <f t="shared" si="20"/>
        <v>0</v>
      </c>
      <c r="G24" s="35">
        <f t="shared" si="20"/>
        <v>0</v>
      </c>
      <c r="H24" s="35">
        <f t="shared" si="20"/>
        <v>0</v>
      </c>
      <c r="I24" s="35">
        <f t="shared" si="20"/>
        <v>0</v>
      </c>
      <c r="J24" s="35">
        <f t="shared" si="20"/>
        <v>0</v>
      </c>
      <c r="K24" s="35">
        <f t="shared" si="20"/>
        <v>0</v>
      </c>
      <c r="L24" s="35">
        <f t="shared" si="20"/>
        <v>0</v>
      </c>
      <c r="M24" s="35">
        <f t="shared" si="20"/>
        <v>0</v>
      </c>
      <c r="N24" s="35">
        <f t="shared" si="20"/>
        <v>0</v>
      </c>
      <c r="O24" s="35">
        <f t="shared" si="20"/>
        <v>0</v>
      </c>
      <c r="P24" s="35">
        <f t="shared" ref="P24:U24" si="21">SUM(P25:P27)</f>
        <v>0</v>
      </c>
      <c r="Q24" s="35">
        <f t="shared" si="21"/>
        <v>0</v>
      </c>
      <c r="R24" s="35">
        <f t="shared" si="21"/>
        <v>0</v>
      </c>
      <c r="S24" s="35">
        <f t="shared" si="21"/>
        <v>0</v>
      </c>
      <c r="T24" s="35">
        <f t="shared" si="21"/>
        <v>0</v>
      </c>
      <c r="U24" s="35">
        <f t="shared" si="21"/>
        <v>0</v>
      </c>
      <c r="V24" s="35">
        <f t="shared" ref="V24:AA24" si="22">SUM(V25:V27)</f>
        <v>0</v>
      </c>
      <c r="W24" s="35">
        <f t="shared" si="22"/>
        <v>0</v>
      </c>
      <c r="X24" s="35">
        <f t="shared" si="22"/>
        <v>0</v>
      </c>
      <c r="Y24" s="35">
        <f t="shared" si="22"/>
        <v>0</v>
      </c>
      <c r="Z24" s="35">
        <f t="shared" si="22"/>
        <v>0</v>
      </c>
      <c r="AA24" s="35">
        <f t="shared" si="22"/>
        <v>0</v>
      </c>
      <c r="AB24" s="35">
        <f t="shared" ref="AB24:AG24" si="23">SUM(AB25:AB27)</f>
        <v>0</v>
      </c>
      <c r="AC24" s="35">
        <f t="shared" si="23"/>
        <v>0</v>
      </c>
      <c r="AD24" s="35">
        <f t="shared" si="23"/>
        <v>0</v>
      </c>
      <c r="AE24" s="35">
        <f t="shared" si="23"/>
        <v>0</v>
      </c>
      <c r="AF24" s="35">
        <f t="shared" si="23"/>
        <v>0</v>
      </c>
      <c r="AG24" s="35">
        <f t="shared" si="23"/>
        <v>0</v>
      </c>
      <c r="AL24" s="67"/>
    </row>
    <row r="25" spans="1:38">
      <c r="A25" t="s">
        <v>51</v>
      </c>
      <c r="B25" t="s">
        <v>240</v>
      </c>
      <c r="C25" s="6" t="s">
        <v>232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L25" s="5"/>
    </row>
    <row r="26" spans="1:38">
      <c r="A26" t="s">
        <v>51</v>
      </c>
      <c r="B26" t="s">
        <v>240</v>
      </c>
      <c r="C26" s="6" t="s">
        <v>233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</row>
    <row r="27" spans="1:38">
      <c r="A27" t="s">
        <v>51</v>
      </c>
      <c r="B27" t="s">
        <v>240</v>
      </c>
      <c r="C27" s="6" t="s">
        <v>234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</row>
    <row r="28" spans="1:38" s="7" customFormat="1" ht="15">
      <c r="A28" t="s">
        <v>51</v>
      </c>
      <c r="B28" s="7" t="s">
        <v>239</v>
      </c>
      <c r="C28" s="7" t="s">
        <v>235</v>
      </c>
      <c r="D28" s="35">
        <v>0</v>
      </c>
      <c r="E28" s="35">
        <v>0</v>
      </c>
      <c r="F28" s="35">
        <v>0</v>
      </c>
      <c r="G28" s="35">
        <v>0</v>
      </c>
      <c r="H28" s="35">
        <v>0</v>
      </c>
      <c r="I28" s="35">
        <v>0</v>
      </c>
      <c r="J28" s="35">
        <v>0</v>
      </c>
      <c r="K28" s="35">
        <v>0</v>
      </c>
      <c r="L28" s="35">
        <v>0</v>
      </c>
      <c r="M28" s="35">
        <v>0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  <c r="T28" s="35">
        <v>0</v>
      </c>
      <c r="U28" s="35">
        <v>0</v>
      </c>
      <c r="V28" s="35">
        <v>0</v>
      </c>
      <c r="W28" s="35">
        <v>0</v>
      </c>
      <c r="X28" s="35">
        <v>0</v>
      </c>
      <c r="Y28" s="35">
        <v>0</v>
      </c>
      <c r="Z28" s="35">
        <v>0</v>
      </c>
      <c r="AA28" s="35">
        <v>0</v>
      </c>
      <c r="AB28" s="35">
        <v>0</v>
      </c>
      <c r="AC28" s="35">
        <v>0</v>
      </c>
      <c r="AD28" s="35">
        <v>0</v>
      </c>
      <c r="AE28" s="35">
        <v>0</v>
      </c>
      <c r="AF28" s="35">
        <v>0</v>
      </c>
      <c r="AG28" s="35">
        <v>0</v>
      </c>
    </row>
    <row r="29" spans="1:38" s="7" customFormat="1" ht="15">
      <c r="A29" t="s">
        <v>51</v>
      </c>
      <c r="B29" s="7" t="s">
        <v>239</v>
      </c>
      <c r="C29" s="8" t="s">
        <v>236</v>
      </c>
      <c r="D29" s="35">
        <v>0</v>
      </c>
      <c r="E29" s="35">
        <v>0</v>
      </c>
      <c r="F29" s="35">
        <v>0</v>
      </c>
      <c r="G29" s="35">
        <v>0</v>
      </c>
      <c r="H29" s="35">
        <v>0</v>
      </c>
      <c r="I29" s="35">
        <v>0</v>
      </c>
      <c r="J29" s="35">
        <v>0</v>
      </c>
      <c r="K29" s="35">
        <v>0</v>
      </c>
      <c r="L29" s="35">
        <v>0</v>
      </c>
      <c r="M29" s="35">
        <v>0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  <c r="T29" s="35">
        <v>0</v>
      </c>
      <c r="U29" s="35">
        <v>0</v>
      </c>
      <c r="V29" s="35">
        <v>0</v>
      </c>
      <c r="W29" s="35">
        <v>0</v>
      </c>
      <c r="X29" s="35">
        <v>0</v>
      </c>
      <c r="Y29" s="35">
        <v>0</v>
      </c>
      <c r="Z29" s="35">
        <v>0</v>
      </c>
      <c r="AA29" s="35">
        <v>0</v>
      </c>
      <c r="AB29" s="35">
        <v>0</v>
      </c>
      <c r="AC29" s="35">
        <v>0</v>
      </c>
      <c r="AD29" s="35">
        <v>0</v>
      </c>
      <c r="AE29" s="35">
        <v>0</v>
      </c>
      <c r="AF29" s="35">
        <v>0</v>
      </c>
      <c r="AG29" s="35">
        <v>0</v>
      </c>
    </row>
    <row r="30" spans="1:38" s="7" customFormat="1" ht="30">
      <c r="A30" t="s">
        <v>51</v>
      </c>
      <c r="B30" s="7" t="s">
        <v>241</v>
      </c>
      <c r="C30" s="8" t="s">
        <v>242</v>
      </c>
      <c r="D30" s="35">
        <f t="shared" ref="D30:O30" si="24">SUM(D17,D20,D24,D28,D29)</f>
        <v>9108</v>
      </c>
      <c r="E30" s="35">
        <f t="shared" si="24"/>
        <v>35061</v>
      </c>
      <c r="F30" s="35">
        <f t="shared" si="24"/>
        <v>2654114</v>
      </c>
      <c r="G30" s="35">
        <f t="shared" si="24"/>
        <v>2528</v>
      </c>
      <c r="H30" s="35">
        <f t="shared" si="24"/>
        <v>54656</v>
      </c>
      <c r="I30" s="35">
        <f t="shared" si="24"/>
        <v>0</v>
      </c>
      <c r="J30" s="35">
        <f t="shared" si="24"/>
        <v>886362</v>
      </c>
      <c r="K30" s="35">
        <f t="shared" si="24"/>
        <v>1579337</v>
      </c>
      <c r="L30" s="35">
        <f t="shared" si="24"/>
        <v>104533.4</v>
      </c>
      <c r="M30" s="35">
        <f t="shared" si="24"/>
        <v>22763.05</v>
      </c>
      <c r="N30" s="35">
        <f t="shared" si="24"/>
        <v>0</v>
      </c>
      <c r="O30" s="35">
        <f t="shared" si="24"/>
        <v>1994300.25</v>
      </c>
      <c r="P30" s="35">
        <f t="shared" ref="P30:U30" si="25">SUM(P17,P20,P24,P28,P29)</f>
        <v>140362.5</v>
      </c>
      <c r="Q30" s="35">
        <f t="shared" si="25"/>
        <v>0</v>
      </c>
      <c r="R30" s="35">
        <f t="shared" si="25"/>
        <v>4449</v>
      </c>
      <c r="S30" s="35">
        <f t="shared" si="25"/>
        <v>11192.75</v>
      </c>
      <c r="T30" s="35">
        <f t="shared" si="25"/>
        <v>127494.25</v>
      </c>
      <c r="U30" s="35">
        <f t="shared" si="25"/>
        <v>8753</v>
      </c>
      <c r="V30" s="35">
        <f t="shared" ref="V30:AA30" si="26">SUM(V17,V20,V24,V28,V29)</f>
        <v>6601</v>
      </c>
      <c r="W30" s="35">
        <f t="shared" si="26"/>
        <v>119050</v>
      </c>
      <c r="X30" s="35">
        <f t="shared" si="26"/>
        <v>177829.85</v>
      </c>
      <c r="Y30" s="35">
        <f>SUM(Y17,Y20,Y24,Y28,Y29)</f>
        <v>40972.400000000001</v>
      </c>
      <c r="Z30" s="35">
        <f t="shared" si="26"/>
        <v>9342.4269999999997</v>
      </c>
      <c r="AA30" s="35">
        <f t="shared" si="26"/>
        <v>15959.423000000001</v>
      </c>
      <c r="AB30" s="35">
        <f t="shared" ref="AB30:AG30" si="27">SUM(AB17,AB20,AB24,AB28,AB29)</f>
        <v>7403.9409999999998</v>
      </c>
      <c r="AC30" s="35">
        <f t="shared" si="27"/>
        <v>0</v>
      </c>
      <c r="AD30" s="35">
        <f t="shared" si="27"/>
        <v>0</v>
      </c>
      <c r="AE30" s="35">
        <f t="shared" si="27"/>
        <v>1620</v>
      </c>
      <c r="AF30" s="35">
        <f t="shared" si="27"/>
        <v>1074.9000000000001</v>
      </c>
      <c r="AG30" s="35">
        <f t="shared" si="27"/>
        <v>86047.3</v>
      </c>
    </row>
    <row r="32" spans="1:38" ht="15">
      <c r="A32" s="7" t="s">
        <v>243</v>
      </c>
      <c r="B32" s="7" t="s">
        <v>244</v>
      </c>
      <c r="C32" s="7" t="s">
        <v>245</v>
      </c>
      <c r="D32" s="35">
        <f t="shared" ref="D32:O32" si="28">SUM(D15,D30)</f>
        <v>37898349.529999994</v>
      </c>
      <c r="E32" s="35">
        <f t="shared" si="28"/>
        <v>37679834.880000003</v>
      </c>
      <c r="F32" s="35">
        <f t="shared" si="28"/>
        <v>40807168.960000001</v>
      </c>
      <c r="G32" s="35">
        <f t="shared" si="28"/>
        <v>42210714.299000017</v>
      </c>
      <c r="H32" s="35">
        <f t="shared" si="28"/>
        <v>41542843.539999992</v>
      </c>
      <c r="I32" s="35">
        <f t="shared" si="28"/>
        <v>38595421.240000002</v>
      </c>
      <c r="J32" s="35">
        <f t="shared" si="28"/>
        <v>44807559.659999996</v>
      </c>
      <c r="K32" s="35">
        <f t="shared" si="28"/>
        <v>48165038.680000007</v>
      </c>
      <c r="L32" s="35">
        <f t="shared" si="28"/>
        <v>47812228.080000006</v>
      </c>
      <c r="M32" s="35">
        <f t="shared" si="28"/>
        <v>38437663.739999995</v>
      </c>
      <c r="N32" s="35">
        <f t="shared" si="28"/>
        <v>46826146.500000015</v>
      </c>
      <c r="O32" s="35">
        <f t="shared" si="28"/>
        <v>43726266.340000004</v>
      </c>
      <c r="P32" s="35">
        <f t="shared" ref="P32:U32" si="29">SUM(P15,P30)</f>
        <v>42257389.190099999</v>
      </c>
      <c r="Q32" s="35">
        <f t="shared" si="29"/>
        <v>39243980.659700006</v>
      </c>
      <c r="R32" s="35">
        <f t="shared" si="29"/>
        <v>36268012.288800001</v>
      </c>
      <c r="S32" s="35">
        <f t="shared" si="29"/>
        <v>38907513.408500001</v>
      </c>
      <c r="T32" s="35">
        <f t="shared" si="29"/>
        <v>37708844.296900004</v>
      </c>
      <c r="U32" s="35">
        <f t="shared" si="29"/>
        <v>39245819.513600007</v>
      </c>
      <c r="V32" s="35">
        <f t="shared" ref="V32:AG32" si="30">SUM(V15,V30)</f>
        <v>42426211.037199996</v>
      </c>
      <c r="W32" s="35">
        <f t="shared" si="30"/>
        <v>43247514.076299995</v>
      </c>
      <c r="X32" s="35">
        <f t="shared" si="30"/>
        <v>30102907.808300003</v>
      </c>
      <c r="Y32" s="35">
        <f t="shared" si="30"/>
        <v>28739808.021099992</v>
      </c>
      <c r="Z32" s="35">
        <f t="shared" si="30"/>
        <v>28528071.457899995</v>
      </c>
      <c r="AA32" s="35">
        <f t="shared" si="30"/>
        <v>25170951.713000003</v>
      </c>
      <c r="AB32" s="35">
        <f t="shared" si="30"/>
        <v>23310849.141000003</v>
      </c>
      <c r="AC32" s="35">
        <f t="shared" si="30"/>
        <v>13018800.526808405</v>
      </c>
      <c r="AD32" s="35">
        <f t="shared" si="30"/>
        <v>15851221.280531704</v>
      </c>
      <c r="AE32" s="35">
        <f t="shared" si="30"/>
        <v>15890337.641999999</v>
      </c>
      <c r="AF32" s="35">
        <f t="shared" si="30"/>
        <v>19546588.215902299</v>
      </c>
      <c r="AG32" s="35">
        <f t="shared" si="30"/>
        <v>19866670.108208459</v>
      </c>
      <c r="AH32" s="79"/>
    </row>
    <row r="33" spans="3:34">
      <c r="AH33" s="80"/>
    </row>
    <row r="34" spans="3:34">
      <c r="AB34" s="3"/>
      <c r="AC34" s="3"/>
      <c r="AD34" s="3"/>
      <c r="AE34" s="3"/>
      <c r="AF34" s="3"/>
      <c r="AG34" s="3"/>
      <c r="AH34" s="79"/>
    </row>
    <row r="35" spans="3:34">
      <c r="AH35" s="80"/>
    </row>
    <row r="36" spans="3:34">
      <c r="AB36" s="3"/>
      <c r="AC36" s="3"/>
      <c r="AD36" s="3"/>
      <c r="AE36" s="3"/>
      <c r="AF36" s="3"/>
      <c r="AG36" s="3"/>
      <c r="AH36" s="79"/>
    </row>
    <row r="37" spans="3:34">
      <c r="AA37" s="77"/>
      <c r="AH37" s="80"/>
    </row>
    <row r="38" spans="3:34">
      <c r="AB38" s="78"/>
      <c r="AC38" s="78"/>
      <c r="AD38" s="78"/>
      <c r="AE38" s="78"/>
      <c r="AF38" s="78"/>
      <c r="AG38" s="78"/>
      <c r="AH38" s="78"/>
    </row>
    <row r="40" spans="3:34" ht="15">
      <c r="AB40" s="35"/>
      <c r="AC40" s="35"/>
      <c r="AD40" s="35"/>
      <c r="AE40" s="35"/>
      <c r="AF40" s="35"/>
      <c r="AG40" s="35"/>
    </row>
    <row r="41" spans="3:34">
      <c r="AB41" s="3"/>
      <c r="AC41" s="3"/>
      <c r="AD41" s="3"/>
      <c r="AE41" s="3"/>
      <c r="AF41" s="3"/>
      <c r="AG41" s="3"/>
    </row>
    <row r="43" spans="3:34">
      <c r="C43" s="3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</sheetData>
  <pageMargins left="0.7" right="0.7" top="0.75" bottom="0.75" header="0.3" footer="0.3"/>
  <pageSetup paperSize="9" orientation="portrait" r:id="rId1"/>
  <headerFooter>
    <oddHeader>&amp;L&amp;"Calibri"&amp;10&amp;K000000 Interno&amp;1#_x000D_</oddHeader>
    <oddFooter>&amp;L_x000D_&amp;1#&amp;"Calibri"&amp;10&amp;K000000 Interno</oddFooter>
  </headerFooter>
  <ignoredErrors>
    <ignoredError sqref="V9:Y9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H18"/>
  <sheetViews>
    <sheetView workbookViewId="0">
      <pane xSplit="2" ySplit="1" topLeftCell="C2" activePane="bottomRight" state="frozen"/>
      <selection pane="topRight" activeCell="D1" sqref="D1"/>
      <selection pane="bottomLeft" activeCell="A2" sqref="A2"/>
      <selection pane="bottomRight" activeCell="I16" sqref="I16"/>
    </sheetView>
  </sheetViews>
  <sheetFormatPr defaultRowHeight="14.25"/>
  <cols>
    <col min="1" max="1" width="7.75" bestFit="1" customWidth="1"/>
    <col min="2" max="2" width="46.625" customWidth="1"/>
    <col min="3" max="3" width="13.125" customWidth="1"/>
    <col min="4" max="4" width="10.875" customWidth="1"/>
    <col min="5" max="5" width="15.625" customWidth="1"/>
    <col min="6" max="6" width="15.125" customWidth="1"/>
    <col min="7" max="7" width="14.625" customWidth="1"/>
    <col min="8" max="8" width="13.625" customWidth="1"/>
  </cols>
  <sheetData>
    <row r="1" spans="1:8" ht="15">
      <c r="A1" s="7"/>
      <c r="B1" s="7" t="s">
        <v>246</v>
      </c>
      <c r="C1" s="84">
        <v>45992</v>
      </c>
      <c r="D1" s="84">
        <v>46023</v>
      </c>
      <c r="E1" s="84">
        <v>46054</v>
      </c>
      <c r="F1" s="84">
        <v>46082</v>
      </c>
      <c r="G1" s="84">
        <v>46113</v>
      </c>
      <c r="H1" s="84">
        <v>46143</v>
      </c>
    </row>
    <row r="2" spans="1:8">
      <c r="A2" t="s">
        <v>247</v>
      </c>
      <c r="B2" t="s">
        <v>248</v>
      </c>
      <c r="C2" s="20">
        <v>2.4813999999999998</v>
      </c>
      <c r="D2" s="20">
        <v>2.4813999999999998</v>
      </c>
      <c r="E2" s="20">
        <f>ROUND((8*2.4814+20*2.1615)/28,4)</f>
        <v>2.2528999999999999</v>
      </c>
      <c r="F2" s="20">
        <v>2.1615000000000002</v>
      </c>
      <c r="G2" s="20">
        <v>2.1615000000000002</v>
      </c>
      <c r="H2" s="20">
        <v>2.1615000000000002</v>
      </c>
    </row>
    <row r="3" spans="1:8">
      <c r="A3" t="s">
        <v>237</v>
      </c>
      <c r="B3" t="s">
        <v>238</v>
      </c>
      <c r="C3" s="3">
        <f>'Volumes distribuídos'!AB15</f>
        <v>23303445.200000003</v>
      </c>
      <c r="D3" s="3">
        <f>'Volumes distribuídos'!AC15</f>
        <v>13018800.526808405</v>
      </c>
      <c r="E3" s="3">
        <f>'Volumes distribuídos'!AD15</f>
        <v>15851221.280531704</v>
      </c>
      <c r="F3" s="3">
        <f>'Volumes distribuídos'!AE15</f>
        <v>15888717.641999999</v>
      </c>
      <c r="G3" s="3">
        <f>'Volumes distribuídos'!AF15</f>
        <v>19545513.3159023</v>
      </c>
      <c r="H3" s="3">
        <f>'Volumes distribuídos'!AG15</f>
        <v>19780622.808208458</v>
      </c>
    </row>
    <row r="4" spans="1:8">
      <c r="A4" t="s">
        <v>249</v>
      </c>
      <c r="B4" t="s">
        <v>250</v>
      </c>
      <c r="C4" s="3">
        <f>C2*C3</f>
        <v>57825168.91928</v>
      </c>
      <c r="D4" s="3">
        <f t="shared" ref="D4:H4" si="0">D2*D3</f>
        <v>32304851.627222374</v>
      </c>
      <c r="E4" s="3">
        <f t="shared" si="0"/>
        <v>35711216.422909878</v>
      </c>
      <c r="F4" s="3">
        <f t="shared" si="0"/>
        <v>34343463.183182999</v>
      </c>
      <c r="G4" s="3">
        <f t="shared" si="0"/>
        <v>42247627.032322824</v>
      </c>
      <c r="H4" s="3">
        <f t="shared" si="0"/>
        <v>42755816.199942589</v>
      </c>
    </row>
    <row r="5" spans="1:8">
      <c r="A5" t="s">
        <v>251</v>
      </c>
      <c r="B5" t="s">
        <v>252</v>
      </c>
      <c r="C5" s="20">
        <f t="shared" ref="C5:H5" si="1">1.7*C2</f>
        <v>4.2183799999999998</v>
      </c>
      <c r="D5" s="20">
        <f t="shared" si="1"/>
        <v>4.2183799999999998</v>
      </c>
      <c r="E5" s="20">
        <f t="shared" si="1"/>
        <v>3.8299299999999996</v>
      </c>
      <c r="F5" s="20">
        <f t="shared" si="1"/>
        <v>3.6745500000000004</v>
      </c>
      <c r="G5" s="20">
        <f t="shared" si="1"/>
        <v>3.6745500000000004</v>
      </c>
      <c r="H5" s="20">
        <f t="shared" si="1"/>
        <v>3.6745500000000004</v>
      </c>
    </row>
    <row r="6" spans="1:8">
      <c r="A6" t="s">
        <v>241</v>
      </c>
      <c r="B6" t="s">
        <v>242</v>
      </c>
      <c r="C6" s="3">
        <f>'Volumes distribuídos'!AB30</f>
        <v>7403.9409999999998</v>
      </c>
      <c r="D6" s="3">
        <f>'Volumes distribuídos'!AC30</f>
        <v>0</v>
      </c>
      <c r="E6" s="3">
        <f>'Volumes distribuídos'!AD30</f>
        <v>0</v>
      </c>
      <c r="F6" s="3">
        <f>'Volumes distribuídos'!AE30</f>
        <v>1620</v>
      </c>
      <c r="G6" s="3">
        <f>'Volumes distribuídos'!AF30</f>
        <v>1074.9000000000001</v>
      </c>
      <c r="H6" s="3">
        <f>'Volumes distribuídos'!AG30</f>
        <v>86047.3</v>
      </c>
    </row>
    <row r="7" spans="1:8">
      <c r="A7" t="s">
        <v>253</v>
      </c>
      <c r="B7" t="s">
        <v>254</v>
      </c>
      <c r="C7" s="3">
        <f t="shared" ref="C7:H7" si="2">C5*C6</f>
        <v>31232.636635579998</v>
      </c>
      <c r="D7" s="3">
        <f t="shared" si="2"/>
        <v>0</v>
      </c>
      <c r="E7" s="3">
        <f t="shared" si="2"/>
        <v>0</v>
      </c>
      <c r="F7" s="3">
        <f t="shared" si="2"/>
        <v>5952.7710000000006</v>
      </c>
      <c r="G7" s="3">
        <f t="shared" si="2"/>
        <v>3949.773795000001</v>
      </c>
      <c r="H7" s="3">
        <f t="shared" si="2"/>
        <v>316185.10621500004</v>
      </c>
    </row>
    <row r="8" spans="1:8">
      <c r="A8" t="s">
        <v>255</v>
      </c>
      <c r="B8" t="s">
        <v>256</v>
      </c>
    </row>
    <row r="9" spans="1:8" ht="15">
      <c r="A9" s="7" t="s">
        <v>257</v>
      </c>
      <c r="B9" s="7" t="s">
        <v>258</v>
      </c>
      <c r="C9" s="35">
        <f>ROUND(SUM(C4,C7,C8),4)</f>
        <v>57856401.5559</v>
      </c>
      <c r="D9" s="35">
        <f t="shared" ref="D9:H9" si="3">ROUND(SUM(D4,D7,D8),4)</f>
        <v>32304851.6272</v>
      </c>
      <c r="E9" s="35">
        <f t="shared" si="3"/>
        <v>35711216.422899999</v>
      </c>
      <c r="F9" s="35">
        <f t="shared" si="3"/>
        <v>34349415.9542</v>
      </c>
      <c r="G9" s="35">
        <f t="shared" si="3"/>
        <v>42251576.806100003</v>
      </c>
      <c r="H9" s="35">
        <f t="shared" si="3"/>
        <v>43072001.306199998</v>
      </c>
    </row>
    <row r="12" spans="1:8">
      <c r="A12" t="s">
        <v>259</v>
      </c>
      <c r="B12" t="s">
        <v>260</v>
      </c>
      <c r="C12" s="20">
        <v>-2.23E-2</v>
      </c>
      <c r="D12" s="20">
        <v>-2.23E-2</v>
      </c>
      <c r="E12" s="20">
        <f>ROUND((8*-0.0223+20*-0.0886)/28,4)</f>
        <v>-6.9699999999999998E-2</v>
      </c>
      <c r="F12" s="20">
        <v>-8.8599999999999998E-2</v>
      </c>
      <c r="G12" s="20">
        <v>-8.8599999999999998E-2</v>
      </c>
      <c r="H12" s="20">
        <v>-8.8599999999999998E-2</v>
      </c>
    </row>
    <row r="13" spans="1:8">
      <c r="A13" t="s">
        <v>237</v>
      </c>
      <c r="B13" t="s">
        <v>238</v>
      </c>
      <c r="C13" s="3">
        <f>'Volumes distribuídos'!AB15</f>
        <v>23303445.200000003</v>
      </c>
      <c r="D13" s="3">
        <f>'Volumes distribuídos'!AC15</f>
        <v>13018800.526808405</v>
      </c>
      <c r="E13" s="3">
        <f>'Volumes distribuídos'!AD15</f>
        <v>15851221.280531704</v>
      </c>
      <c r="F13" s="3">
        <f>'Volumes distribuídos'!AE15</f>
        <v>15888717.641999999</v>
      </c>
      <c r="G13" s="3">
        <f>'Volumes distribuídos'!AF15</f>
        <v>19545513.3159023</v>
      </c>
      <c r="H13" s="3">
        <f>'Volumes distribuídos'!AG15</f>
        <v>19780622.808208458</v>
      </c>
    </row>
    <row r="14" spans="1:8">
      <c r="A14" t="s">
        <v>261</v>
      </c>
      <c r="B14" t="s">
        <v>262</v>
      </c>
      <c r="C14" s="22">
        <v>1.7</v>
      </c>
      <c r="D14" s="22">
        <v>1.7</v>
      </c>
      <c r="E14" s="22">
        <v>1.7</v>
      </c>
      <c r="F14" s="22">
        <v>1.7</v>
      </c>
      <c r="G14" s="22">
        <v>1.7</v>
      </c>
      <c r="H14" s="22">
        <v>1.7</v>
      </c>
    </row>
    <row r="15" spans="1:8">
      <c r="A15" t="s">
        <v>241</v>
      </c>
      <c r="B15" t="s">
        <v>242</v>
      </c>
      <c r="C15" s="3">
        <f>'Volumes distribuídos'!AB30</f>
        <v>7403.9409999999998</v>
      </c>
      <c r="D15" s="3">
        <f>'Volumes distribuídos'!AC30</f>
        <v>0</v>
      </c>
      <c r="E15" s="3">
        <f>'Volumes distribuídos'!AD30</f>
        <v>0</v>
      </c>
      <c r="F15" s="3">
        <f>'Volumes distribuídos'!AE30</f>
        <v>1620</v>
      </c>
      <c r="G15" s="3">
        <f>'Volumes distribuídos'!AF30</f>
        <v>1074.9000000000001</v>
      </c>
      <c r="H15" s="3">
        <f>'Volumes distribuídos'!AG30</f>
        <v>86047.3</v>
      </c>
    </row>
    <row r="16" spans="1:8">
      <c r="A16" t="s">
        <v>263</v>
      </c>
      <c r="B16" t="s">
        <v>264</v>
      </c>
      <c r="C16" s="5">
        <f t="shared" ref="C16:G16" si="4">ROUND((C12*C13)+(C14*C12*C15),4)</f>
        <v>-519947.51140000002</v>
      </c>
      <c r="D16" s="5">
        <f t="shared" si="4"/>
        <v>-290319.25170000002</v>
      </c>
      <c r="E16" s="5">
        <f t="shared" si="4"/>
        <v>-1104830.1233000001</v>
      </c>
      <c r="F16" s="5">
        <f t="shared" si="4"/>
        <v>-1407984.3875</v>
      </c>
      <c r="G16" s="5">
        <f t="shared" si="4"/>
        <v>-1731894.3811999999</v>
      </c>
      <c r="H16" s="5">
        <f>ROUND((H12*H13)+(H14*H12*H15),4)</f>
        <v>-1765523.6251000001</v>
      </c>
    </row>
    <row r="18" spans="1:8" ht="15">
      <c r="A18" s="7" t="s">
        <v>265</v>
      </c>
      <c r="B18" s="7" t="s">
        <v>266</v>
      </c>
      <c r="C18" s="48">
        <f t="shared" ref="C18:H18" si="5">SUM(C2,C12)</f>
        <v>2.4590999999999998</v>
      </c>
      <c r="D18" s="48">
        <f t="shared" si="5"/>
        <v>2.4590999999999998</v>
      </c>
      <c r="E18" s="48">
        <f t="shared" si="5"/>
        <v>2.1831999999999998</v>
      </c>
      <c r="F18" s="48">
        <f t="shared" si="5"/>
        <v>2.0729000000000002</v>
      </c>
      <c r="G18" s="48">
        <f t="shared" si="5"/>
        <v>2.0729000000000002</v>
      </c>
      <c r="H18" s="48">
        <f t="shared" si="5"/>
        <v>2.0729000000000002</v>
      </c>
    </row>
  </sheetData>
  <pageMargins left="0.7" right="0.7" top="0.75" bottom="0.75" header="0.3" footer="0.3"/>
  <pageSetup paperSize="9" orientation="portrait" r:id="rId1"/>
  <headerFooter>
    <oddHeader>&amp;L&amp;"Calibri"&amp;10&amp;K000000 Interno&amp;1#_x000D_</oddHeader>
    <oddFooter>&amp;L_x000D_&amp;1#&amp;"Calibri"&amp;10&amp;K000000 Interno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A1:H24"/>
  <sheetViews>
    <sheetView tabSelected="1" zoomScaleNormal="100" workbookViewId="0">
      <pane xSplit="2" ySplit="1" topLeftCell="C2" activePane="bottomRight" state="frozen"/>
      <selection pane="topRight" activeCell="D1" sqref="D1"/>
      <selection pane="bottomLeft" activeCell="A2" sqref="A2"/>
      <selection pane="bottomRight" activeCell="H9" sqref="H9"/>
    </sheetView>
  </sheetViews>
  <sheetFormatPr defaultRowHeight="14.25"/>
  <cols>
    <col min="1" max="1" width="10.75" bestFit="1" customWidth="1"/>
    <col min="2" max="2" width="51" bestFit="1" customWidth="1"/>
    <col min="3" max="8" width="15.625" customWidth="1"/>
  </cols>
  <sheetData>
    <row r="1" spans="1:8" ht="15">
      <c r="B1" s="7"/>
      <c r="C1" s="84">
        <v>45992</v>
      </c>
      <c r="D1" s="84">
        <v>46023</v>
      </c>
      <c r="E1" s="84">
        <v>46054</v>
      </c>
      <c r="F1" s="84">
        <v>46082</v>
      </c>
      <c r="G1" s="84">
        <v>46113</v>
      </c>
      <c r="H1" s="84">
        <v>46143</v>
      </c>
    </row>
    <row r="2" spans="1:8">
      <c r="A2" t="s">
        <v>257</v>
      </c>
      <c r="B2" s="6" t="s">
        <v>258</v>
      </c>
      <c r="C2" s="10">
        <f>'Custo Distribuição'!C9</f>
        <v>57856401.5559</v>
      </c>
      <c r="D2" s="10">
        <f>'Custo Distribuição'!D9</f>
        <v>32304851.6272</v>
      </c>
      <c r="E2" s="10">
        <f>'Custo Distribuição'!E9</f>
        <v>35711216.422899999</v>
      </c>
      <c r="F2" s="10">
        <f>'Custo Distribuição'!F9</f>
        <v>34349415.9542</v>
      </c>
      <c r="G2" s="10">
        <f>'Custo Distribuição'!G9</f>
        <v>42251576.806100003</v>
      </c>
      <c r="H2" s="10">
        <f>'Custo Distribuição'!H9</f>
        <v>43072001.306199998</v>
      </c>
    </row>
    <row r="3" spans="1:8">
      <c r="A3" t="s">
        <v>263</v>
      </c>
      <c r="B3" s="6" t="s">
        <v>264</v>
      </c>
      <c r="C3" s="10">
        <f>'Custo Distribuição'!C16</f>
        <v>-519947.51140000002</v>
      </c>
      <c r="D3" s="10">
        <f>'Custo Distribuição'!D16</f>
        <v>-290319.25170000002</v>
      </c>
      <c r="E3" s="10">
        <f>'Custo Distribuição'!E16</f>
        <v>-1104830.1233000001</v>
      </c>
      <c r="F3" s="10">
        <f>'Custo Distribuição'!F16</f>
        <v>-1407984.3875</v>
      </c>
      <c r="G3" s="10">
        <f>'Custo Distribuição'!G16</f>
        <v>-1731894.3811999999</v>
      </c>
      <c r="H3" s="10">
        <f>'Custo Distribuição'!H16</f>
        <v>-1765523.6251000001</v>
      </c>
    </row>
    <row r="4" spans="1:8">
      <c r="A4" t="s">
        <v>218</v>
      </c>
      <c r="B4" s="6" t="s">
        <v>219</v>
      </c>
      <c r="C4" s="10">
        <f>'Custos de Aquisição'!C10</f>
        <v>49805479.540299997</v>
      </c>
      <c r="D4" s="10">
        <f>'Custos de Aquisição'!D10</f>
        <v>35070451.0374</v>
      </c>
      <c r="E4" s="10">
        <f>'Custos de Aquisição'!E10</f>
        <v>33570629.1074</v>
      </c>
      <c r="F4" s="10">
        <f>'Custos de Aquisição'!F10</f>
        <v>39084725.226899996</v>
      </c>
      <c r="G4" s="10">
        <f>'Custos de Aquisição'!G10</f>
        <v>36411561.137999997</v>
      </c>
      <c r="H4" s="10">
        <f>'Custos de Aquisição'!H10</f>
        <v>45641018.462800004</v>
      </c>
    </row>
    <row r="5" spans="1:8">
      <c r="A5" t="s">
        <v>267</v>
      </c>
      <c r="B5" t="s">
        <v>268</v>
      </c>
      <c r="C5" s="10">
        <f t="shared" ref="C5:H5" si="0">C2+C3-C4</f>
        <v>7530974.504200004</v>
      </c>
      <c r="D5" s="10">
        <f t="shared" si="0"/>
        <v>-3055918.6618999988</v>
      </c>
      <c r="E5" s="10">
        <f t="shared" si="0"/>
        <v>1035757.1921999976</v>
      </c>
      <c r="F5" s="10">
        <f t="shared" si="0"/>
        <v>-6143293.6601999961</v>
      </c>
      <c r="G5" s="10">
        <f t="shared" si="0"/>
        <v>4108121.2869000062</v>
      </c>
      <c r="H5" s="10">
        <f t="shared" si="0"/>
        <v>-4334540.7817000076</v>
      </c>
    </row>
    <row r="6" spans="1:8">
      <c r="A6" t="s">
        <v>269</v>
      </c>
      <c r="B6" t="s">
        <v>270</v>
      </c>
      <c r="C6" s="60">
        <v>10117795.976137985</v>
      </c>
      <c r="D6" s="10">
        <f t="shared" ref="D6:H6" si="1">C9</f>
        <v>17772207.591200002</v>
      </c>
      <c r="E6" s="10">
        <f t="shared" si="1"/>
        <v>14922446.5374</v>
      </c>
      <c r="F6" s="10">
        <f t="shared" si="1"/>
        <v>16107428.194999998</v>
      </c>
      <c r="G6" s="10">
        <f t="shared" si="1"/>
        <v>10159034.416000003</v>
      </c>
      <c r="H6" s="10">
        <f t="shared" si="1"/>
        <v>14377889.178000007</v>
      </c>
    </row>
    <row r="7" spans="1:8">
      <c r="A7" t="s">
        <v>271</v>
      </c>
      <c r="B7" t="s">
        <v>272</v>
      </c>
      <c r="C7" s="55">
        <f>Indicadores!Y16</f>
        <v>1.2200000000000001E-2</v>
      </c>
      <c r="D7" s="55">
        <f>Indicadores!Z16</f>
        <v>1.1599999999999999E-2</v>
      </c>
      <c r="E7" s="55">
        <f>Indicadores!AA16</f>
        <v>0.01</v>
      </c>
      <c r="F7" s="55">
        <f>Indicadores!AB16</f>
        <v>1.21E-2</v>
      </c>
      <c r="G7" s="55">
        <f>Indicadores!AC16</f>
        <v>1.09E-2</v>
      </c>
      <c r="H7" s="55">
        <f>Indicadores!AD16</f>
        <v>1.0700000000000001E-2</v>
      </c>
    </row>
    <row r="8" spans="1:8">
      <c r="A8" t="s">
        <v>273</v>
      </c>
      <c r="B8" t="s">
        <v>274</v>
      </c>
      <c r="C8" s="10">
        <f t="shared" ref="C8:H8" si="2">ROUND(C6*(1+C7),4)</f>
        <v>10241233.086999999</v>
      </c>
      <c r="D8" s="10">
        <f t="shared" si="2"/>
        <v>17978365.199299999</v>
      </c>
      <c r="E8" s="10">
        <f t="shared" si="2"/>
        <v>15071671.002800001</v>
      </c>
      <c r="F8" s="10">
        <f t="shared" si="2"/>
        <v>16302328.076199999</v>
      </c>
      <c r="G8" s="10">
        <f t="shared" si="2"/>
        <v>10269767.891100001</v>
      </c>
      <c r="H8" s="10">
        <f t="shared" si="2"/>
        <v>14531732.5922</v>
      </c>
    </row>
    <row r="9" spans="1:8" s="30" customFormat="1" ht="15">
      <c r="A9" s="7" t="s">
        <v>275</v>
      </c>
      <c r="B9" s="7" t="s">
        <v>276</v>
      </c>
      <c r="C9" s="18">
        <f t="shared" ref="C9:H9" si="3">C5+C8</f>
        <v>17772207.591200002</v>
      </c>
      <c r="D9" s="18">
        <f t="shared" si="3"/>
        <v>14922446.5374</v>
      </c>
      <c r="E9" s="18">
        <f t="shared" si="3"/>
        <v>16107428.194999998</v>
      </c>
      <c r="F9" s="18">
        <f t="shared" si="3"/>
        <v>10159034.416000003</v>
      </c>
      <c r="G9" s="18">
        <f t="shared" si="3"/>
        <v>14377889.178000007</v>
      </c>
      <c r="H9" s="89">
        <f t="shared" si="3"/>
        <v>10197191.810499992</v>
      </c>
    </row>
    <row r="10" spans="1:8">
      <c r="C10" s="62"/>
      <c r="D10" s="62"/>
      <c r="E10" s="62"/>
      <c r="F10" s="62"/>
      <c r="G10" s="62"/>
      <c r="H10" s="62"/>
    </row>
    <row r="11" spans="1:8">
      <c r="A11" t="s">
        <v>277</v>
      </c>
      <c r="B11" t="s">
        <v>278</v>
      </c>
      <c r="C11" s="62"/>
      <c r="D11" s="62"/>
      <c r="E11" s="11"/>
      <c r="F11" s="11"/>
      <c r="G11" s="11"/>
      <c r="H11" s="11">
        <f>H13</f>
        <v>116631985.72379999</v>
      </c>
    </row>
    <row r="12" spans="1:8">
      <c r="A12" t="s">
        <v>279</v>
      </c>
      <c r="B12" t="s">
        <v>280</v>
      </c>
      <c r="C12" s="62"/>
      <c r="D12" s="62"/>
      <c r="E12" s="11"/>
      <c r="F12" s="11"/>
      <c r="G12" s="11"/>
      <c r="H12" s="11">
        <f>SUM('Volume projetado'!D15:F15)</f>
        <v>61222114.611799993</v>
      </c>
    </row>
    <row r="13" spans="1:8">
      <c r="A13" t="s">
        <v>281</v>
      </c>
      <c r="B13" t="s">
        <v>282</v>
      </c>
      <c r="C13" s="62"/>
      <c r="D13" s="62"/>
      <c r="E13" s="11"/>
      <c r="F13" s="11"/>
      <c r="G13" s="11"/>
      <c r="H13" s="11">
        <f>SUM('Volume projetado'!D15:I15)</f>
        <v>116631985.72379999</v>
      </c>
    </row>
    <row r="14" spans="1:8" ht="15">
      <c r="A14" s="7" t="s">
        <v>283</v>
      </c>
      <c r="B14" s="7" t="s">
        <v>284</v>
      </c>
      <c r="C14" s="62"/>
      <c r="D14" s="62"/>
      <c r="E14" s="34"/>
      <c r="F14" s="34"/>
      <c r="G14" s="34"/>
      <c r="H14" s="75">
        <f>-H9/SUM('Volume projetado'!D15:I15)</f>
        <v>-8.7430491277481079E-2</v>
      </c>
    </row>
    <row r="15" spans="1:8">
      <c r="C15" s="62"/>
      <c r="D15" s="62"/>
      <c r="E15" s="62"/>
      <c r="F15" s="62"/>
      <c r="G15" s="62"/>
      <c r="H15" s="62"/>
    </row>
    <row r="16" spans="1:8">
      <c r="A16" t="s">
        <v>220</v>
      </c>
      <c r="B16" s="6" t="s">
        <v>221</v>
      </c>
      <c r="C16" s="34">
        <f>'Custos de Aquisição'!C13</f>
        <v>2.1642000000000001</v>
      </c>
      <c r="D16" s="34">
        <f>'Custos de Aquisição'!D13</f>
        <v>2.5116999999999998</v>
      </c>
      <c r="E16" s="34">
        <f>'Custos de Aquisição'!E13</f>
        <v>2.1953999999999998</v>
      </c>
      <c r="F16" s="34">
        <f>'Custos de Aquisição'!F13</f>
        <v>2.0947</v>
      </c>
      <c r="G16" s="34">
        <f>'Custos de Aquisição'!G13</f>
        <v>2.0327000000000002</v>
      </c>
      <c r="H16" s="34">
        <f>'Custos de Aquisição'!H13</f>
        <v>2.2761</v>
      </c>
    </row>
    <row r="17" spans="1:8">
      <c r="A17" t="s">
        <v>265</v>
      </c>
      <c r="B17" t="s">
        <v>266</v>
      </c>
      <c r="C17" s="34">
        <f>'Custo Distribuição'!C18</f>
        <v>2.4590999999999998</v>
      </c>
      <c r="D17" s="34">
        <f>'Custo Distribuição'!D18</f>
        <v>2.4590999999999998</v>
      </c>
      <c r="E17" s="34">
        <f>'Custo Distribuição'!E18</f>
        <v>2.1831999999999998</v>
      </c>
      <c r="F17" s="34">
        <f>'Custo Distribuição'!F18</f>
        <v>2.0729000000000002</v>
      </c>
      <c r="G17" s="34">
        <f>'Custo Distribuição'!G18</f>
        <v>2.0729000000000002</v>
      </c>
      <c r="H17" s="34">
        <f>'Custo Distribuição'!H18</f>
        <v>2.0729000000000002</v>
      </c>
    </row>
    <row r="18" spans="1:8">
      <c r="A18" t="s">
        <v>285</v>
      </c>
      <c r="B18" t="s">
        <v>286</v>
      </c>
      <c r="C18" s="49">
        <f t="shared" ref="C18:H18" si="4">ROUND((C16/C17)-1,4)</f>
        <v>-0.11990000000000001</v>
      </c>
      <c r="D18" s="49">
        <f t="shared" si="4"/>
        <v>2.1399999999999999E-2</v>
      </c>
      <c r="E18" s="49">
        <f t="shared" si="4"/>
        <v>5.5999999999999999E-3</v>
      </c>
      <c r="F18" s="49">
        <f t="shared" si="4"/>
        <v>1.0500000000000001E-2</v>
      </c>
      <c r="G18" s="49">
        <f t="shared" si="4"/>
        <v>-1.9400000000000001E-2</v>
      </c>
      <c r="H18" s="49">
        <f t="shared" si="4"/>
        <v>9.8000000000000004E-2</v>
      </c>
    </row>
    <row r="19" spans="1:8">
      <c r="C19" s="61"/>
      <c r="D19" s="61"/>
    </row>
    <row r="20" spans="1:8">
      <c r="C20" s="61"/>
      <c r="D20" s="61"/>
    </row>
    <row r="21" spans="1:8">
      <c r="C21" s="61"/>
      <c r="D21" s="61"/>
    </row>
    <row r="22" spans="1:8">
      <c r="C22" s="61"/>
      <c r="D22" s="61"/>
    </row>
    <row r="23" spans="1:8">
      <c r="C23" s="61"/>
      <c r="D23" s="61"/>
    </row>
    <row r="24" spans="1:8">
      <c r="C24" s="61"/>
      <c r="D24" s="61"/>
    </row>
  </sheetData>
  <pageMargins left="0.7" right="0.7" top="0.75" bottom="0.75" header="0.3" footer="0.3"/>
  <pageSetup paperSize="9" orientation="portrait" r:id="rId1"/>
  <headerFooter>
    <oddHeader>&amp;L&amp;"Calibri"&amp;10&amp;K000000 Interno&amp;1#_x000D_</oddHeader>
    <oddFooter>&amp;L_x000D_&amp;1#&amp;"Calibri"&amp;10&amp;K000000 Interno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A1:I21"/>
  <sheetViews>
    <sheetView workbookViewId="0">
      <pane xSplit="3" ySplit="1" topLeftCell="D2" activePane="bottomRight" state="frozen"/>
      <selection pane="topRight" activeCell="E1" sqref="E1"/>
      <selection pane="bottomLeft" activeCell="A2" sqref="A2"/>
      <selection pane="bottomRight" activeCell="J17" sqref="J17"/>
    </sheetView>
  </sheetViews>
  <sheetFormatPr defaultRowHeight="14.25"/>
  <cols>
    <col min="1" max="1" width="11.875" style="6" customWidth="1"/>
    <col min="3" max="3" width="50.625" customWidth="1"/>
    <col min="4" max="4" width="10.75" customWidth="1"/>
    <col min="5" max="6" width="11" customWidth="1"/>
    <col min="7" max="7" width="11.375" customWidth="1"/>
    <col min="8" max="8" width="10.625" customWidth="1"/>
    <col min="9" max="9" width="9.875" bestFit="1" customWidth="1"/>
  </cols>
  <sheetData>
    <row r="1" spans="1:9" ht="15">
      <c r="B1" s="12"/>
      <c r="C1" s="90"/>
      <c r="D1" s="91">
        <v>46174</v>
      </c>
      <c r="E1" s="91">
        <v>46204</v>
      </c>
      <c r="F1" s="91">
        <v>46235</v>
      </c>
      <c r="G1" s="91">
        <v>46266</v>
      </c>
      <c r="H1" s="91">
        <v>46296</v>
      </c>
      <c r="I1" s="91">
        <v>46327</v>
      </c>
    </row>
    <row r="2" spans="1:9" ht="15">
      <c r="A2" s="6" t="s">
        <v>4</v>
      </c>
      <c r="B2" s="12" t="s">
        <v>287</v>
      </c>
      <c r="C2" s="13" t="s">
        <v>223</v>
      </c>
      <c r="D2" s="35">
        <f t="shared" ref="D2:I2" si="0">SUM(D3:D4)</f>
        <v>35197053.645799994</v>
      </c>
      <c r="E2" s="35">
        <f t="shared" si="0"/>
        <v>35427563.048300005</v>
      </c>
      <c r="F2" s="35">
        <f t="shared" si="0"/>
        <v>22392849.409000002</v>
      </c>
      <c r="G2" s="35">
        <f t="shared" si="0"/>
        <v>21754612.305999998</v>
      </c>
      <c r="H2" s="35">
        <f t="shared" si="0"/>
        <v>21735420.321699999</v>
      </c>
      <c r="I2" s="35">
        <f t="shared" si="0"/>
        <v>18698838.010000002</v>
      </c>
    </row>
    <row r="3" spans="1:9">
      <c r="A3" s="6" t="s">
        <v>4</v>
      </c>
      <c r="B3" s="12" t="s">
        <v>288</v>
      </c>
      <c r="C3" s="14" t="s">
        <v>225</v>
      </c>
      <c r="D3" s="3">
        <f>'Volumes distribuídos'!V3</f>
        <v>35171758.110299997</v>
      </c>
      <c r="E3" s="3">
        <f>'Volumes distribuídos'!W3</f>
        <v>35391808.281000003</v>
      </c>
      <c r="F3" s="3">
        <f>'Volumes distribuídos'!X3</f>
        <v>22354985.6708</v>
      </c>
      <c r="G3" s="3">
        <f>'Volumes distribuídos'!Y3</f>
        <v>21722194.715599999</v>
      </c>
      <c r="H3" s="3">
        <f>'Volumes distribuídos'!Z3</f>
        <v>21709816.342999998</v>
      </c>
      <c r="I3" s="3">
        <f>'Volumes distribuídos'!AA3</f>
        <v>18666965.75</v>
      </c>
    </row>
    <row r="4" spans="1:9">
      <c r="A4" s="6" t="s">
        <v>4</v>
      </c>
      <c r="B4" s="12" t="s">
        <v>288</v>
      </c>
      <c r="C4" s="14" t="s">
        <v>226</v>
      </c>
      <c r="D4" s="3">
        <f>'Volumes distribuídos'!V4</f>
        <v>25295.535500000002</v>
      </c>
      <c r="E4" s="3">
        <f>'Volumes distribuídos'!W4</f>
        <v>35754.7673</v>
      </c>
      <c r="F4" s="3">
        <f>'Volumes distribuídos'!X4</f>
        <v>37863.7382</v>
      </c>
      <c r="G4" s="3">
        <f>'Volumes distribuídos'!Y4</f>
        <v>32417.590400000001</v>
      </c>
      <c r="H4" s="3">
        <f>'Volumes distribuídos'!Z4</f>
        <v>25603.9787</v>
      </c>
      <c r="I4" s="3">
        <f>'Volumes distribuídos'!AA4</f>
        <v>31872.26</v>
      </c>
    </row>
    <row r="5" spans="1:9" ht="15">
      <c r="A5" s="6" t="s">
        <v>4</v>
      </c>
      <c r="B5" s="12" t="s">
        <v>287</v>
      </c>
      <c r="C5" s="13" t="s">
        <v>227</v>
      </c>
      <c r="D5" s="35">
        <f t="shared" ref="D5:I5" si="1">SUM(D6:D8)</f>
        <v>3556139.8346000002</v>
      </c>
      <c r="E5" s="35">
        <f t="shared" si="1"/>
        <v>3722763.6741999998</v>
      </c>
      <c r="F5" s="35">
        <f t="shared" si="1"/>
        <v>3669369.3797999998</v>
      </c>
      <c r="G5" s="35">
        <f t="shared" si="1"/>
        <v>3537577.4595999997</v>
      </c>
      <c r="H5" s="35">
        <f t="shared" si="1"/>
        <v>3755392.9693999998</v>
      </c>
      <c r="I5" s="35">
        <f t="shared" si="1"/>
        <v>3978027.62</v>
      </c>
    </row>
    <row r="6" spans="1:9">
      <c r="A6" s="6" t="s">
        <v>4</v>
      </c>
      <c r="B6" s="12" t="s">
        <v>288</v>
      </c>
      <c r="C6" s="14" t="s">
        <v>228</v>
      </c>
      <c r="D6" s="3">
        <f>'Volumes distribuídos'!V6</f>
        <v>3264190.9934</v>
      </c>
      <c r="E6" s="3">
        <f>'Volumes distribuídos'!W6</f>
        <v>3414034.8484999998</v>
      </c>
      <c r="F6" s="3">
        <f>'Volumes distribuídos'!X6</f>
        <v>3343042.3108999999</v>
      </c>
      <c r="G6" s="3">
        <f>'Volumes distribuídos'!Y6</f>
        <v>3229090.5343999998</v>
      </c>
      <c r="H6" s="3">
        <f>'Volumes distribuídos'!Z6</f>
        <v>3411886.9668999999</v>
      </c>
      <c r="I6" s="3">
        <f>'Volumes distribuídos'!AA6</f>
        <v>3675070.85</v>
      </c>
    </row>
    <row r="7" spans="1:9">
      <c r="A7" s="6" t="s">
        <v>4</v>
      </c>
      <c r="B7" s="12" t="s">
        <v>288</v>
      </c>
      <c r="C7" s="14" t="s">
        <v>229</v>
      </c>
      <c r="D7" s="3">
        <f>'Volumes distribuídos'!V7</f>
        <v>17906</v>
      </c>
      <c r="E7" s="3">
        <f>'Volumes distribuídos'!W7</f>
        <v>18090</v>
      </c>
      <c r="F7" s="3">
        <f>'Volumes distribuídos'!X7</f>
        <v>16846</v>
      </c>
      <c r="G7" s="3">
        <f>'Volumes distribuídos'!Y7</f>
        <v>17131.214599999999</v>
      </c>
      <c r="H7" s="3">
        <f>'Volumes distribuídos'!Z7</f>
        <v>16162.740400000001</v>
      </c>
      <c r="I7" s="3">
        <f>'Volumes distribuídos'!AA7</f>
        <v>12349.34</v>
      </c>
    </row>
    <row r="8" spans="1:9">
      <c r="A8" s="6" t="s">
        <v>4</v>
      </c>
      <c r="B8" s="12" t="s">
        <v>288</v>
      </c>
      <c r="C8" s="14" t="s">
        <v>230</v>
      </c>
      <c r="D8" s="3">
        <f>'Volumes distribuídos'!V8</f>
        <v>274042.84120000002</v>
      </c>
      <c r="E8" s="3">
        <f>'Volumes distribuídos'!W8</f>
        <v>290638.82569999999</v>
      </c>
      <c r="F8" s="3">
        <f>'Volumes distribuídos'!X8</f>
        <v>309481.06890000001</v>
      </c>
      <c r="G8" s="3">
        <f>'Volumes distribuídos'!Y8</f>
        <v>291355.71059999999</v>
      </c>
      <c r="H8" s="3">
        <f>'Volumes distribuídos'!Z8</f>
        <v>327343.26209999999</v>
      </c>
      <c r="I8" s="3">
        <f>'Volumes distribuídos'!AA8</f>
        <v>290607.43</v>
      </c>
    </row>
    <row r="9" spans="1:9" ht="15">
      <c r="A9" s="6" t="s">
        <v>4</v>
      </c>
      <c r="B9" s="12" t="s">
        <v>287</v>
      </c>
      <c r="C9" s="13" t="s">
        <v>231</v>
      </c>
      <c r="D9" s="35">
        <f t="shared" ref="D9:I9" si="2">SUM(D10:D12)</f>
        <v>1651204.9493</v>
      </c>
      <c r="E9" s="35">
        <f t="shared" si="2"/>
        <v>1795169.3584999999</v>
      </c>
      <c r="F9" s="35">
        <f t="shared" si="2"/>
        <v>1711290.3344999999</v>
      </c>
      <c r="G9" s="35">
        <f t="shared" si="2"/>
        <v>1456985.0951</v>
      </c>
      <c r="H9" s="35">
        <f t="shared" si="2"/>
        <v>1243757.3509</v>
      </c>
      <c r="I9" s="35">
        <f t="shared" si="2"/>
        <v>1094860.8899999999</v>
      </c>
    </row>
    <row r="10" spans="1:9">
      <c r="A10" s="6" t="s">
        <v>4</v>
      </c>
      <c r="B10" s="12" t="s">
        <v>288</v>
      </c>
      <c r="C10" s="14" t="s">
        <v>232</v>
      </c>
      <c r="D10" s="3">
        <f>'Volumes distribuídos'!V10</f>
        <v>1645460.7892</v>
      </c>
      <c r="E10" s="3">
        <f>'Volumes distribuídos'!W10</f>
        <v>1788447.7494999999</v>
      </c>
      <c r="F10" s="3">
        <f>'Volumes distribuídos'!X10</f>
        <v>1704628.3478999999</v>
      </c>
      <c r="G10" s="3">
        <f>'Volumes distribuídos'!Y10</f>
        <v>1448046.3075000001</v>
      </c>
      <c r="H10" s="3">
        <f>'Volumes distribuídos'!Z10</f>
        <v>1235848.4140999999</v>
      </c>
      <c r="I10" s="3">
        <f>'Volumes distribuídos'!AA10</f>
        <v>1082006.93</v>
      </c>
    </row>
    <row r="11" spans="1:9">
      <c r="A11" s="6" t="s">
        <v>4</v>
      </c>
      <c r="B11" s="12" t="s">
        <v>288</v>
      </c>
      <c r="C11" s="14" t="s">
        <v>233</v>
      </c>
      <c r="D11" s="3">
        <f>'Volumes distribuídos'!V11</f>
        <v>5744.1601000000001</v>
      </c>
      <c r="E11" s="3">
        <f>'Volumes distribuídos'!W11</f>
        <v>6721.6090000000004</v>
      </c>
      <c r="F11" s="3">
        <f>'Volumes distribuídos'!X11</f>
        <v>5830.3858</v>
      </c>
      <c r="G11" s="3">
        <f>'Volumes distribuídos'!Y11</f>
        <v>5043.1076000000003</v>
      </c>
      <c r="H11" s="3">
        <f>'Volumes distribuídos'!Z11</f>
        <v>4508.3779000000004</v>
      </c>
      <c r="I11" s="3">
        <f>'Volumes distribuídos'!AA11</f>
        <v>3321.65</v>
      </c>
    </row>
    <row r="12" spans="1:9">
      <c r="A12" s="6" t="s">
        <v>4</v>
      </c>
      <c r="B12" s="12" t="s">
        <v>288</v>
      </c>
      <c r="C12" s="14" t="s">
        <v>234</v>
      </c>
      <c r="D12" s="3">
        <f>'Volumes distribuídos'!V12</f>
        <v>0</v>
      </c>
      <c r="E12" s="3">
        <f>'Volumes distribuídos'!W12</f>
        <v>0</v>
      </c>
      <c r="F12" s="3">
        <f>'Volumes distribuídos'!X12</f>
        <v>831.60080000000005</v>
      </c>
      <c r="G12" s="3">
        <f>'Volumes distribuídos'!Y12</f>
        <v>3895.68</v>
      </c>
      <c r="H12" s="3">
        <f>'Volumes distribuídos'!Z12</f>
        <v>3400.5589</v>
      </c>
      <c r="I12" s="3">
        <f>'Volumes distribuídos'!AA12</f>
        <v>9532.31</v>
      </c>
    </row>
    <row r="13" spans="1:9" ht="15">
      <c r="A13" s="6" t="s">
        <v>4</v>
      </c>
      <c r="B13" s="12" t="s">
        <v>287</v>
      </c>
      <c r="C13" s="13" t="s">
        <v>235</v>
      </c>
      <c r="D13" s="35">
        <f>'Volumes distribuídos'!V13</f>
        <v>1880234.6936999999</v>
      </c>
      <c r="E13" s="35">
        <f>'Volumes distribuídos'!W13</f>
        <v>1934741.6266000001</v>
      </c>
      <c r="F13" s="35">
        <f>'Volumes distribuídos'!X13</f>
        <v>1916705.2191999999</v>
      </c>
      <c r="G13" s="35">
        <f>'Volumes distribuídos'!Y13</f>
        <v>1693298.6532999999</v>
      </c>
      <c r="H13" s="35">
        <f>'Volumes distribuídos'!Z13</f>
        <v>1553803.9251000001</v>
      </c>
      <c r="I13" s="35">
        <f>'Volumes distribuídos'!AA13</f>
        <v>1145409.8799999999</v>
      </c>
    </row>
    <row r="14" spans="1:9" ht="15">
      <c r="A14" s="6" t="s">
        <v>4</v>
      </c>
      <c r="B14" s="12" t="s">
        <v>287</v>
      </c>
      <c r="C14" s="13" t="s">
        <v>236</v>
      </c>
      <c r="D14" s="35">
        <f>'Volumes distribuídos'!V14</f>
        <v>134976.91380000001</v>
      </c>
      <c r="E14" s="35">
        <f>'Volumes distribuídos'!W14</f>
        <v>248226.36869999999</v>
      </c>
      <c r="F14" s="35">
        <f>'Volumes distribuídos'!X14</f>
        <v>234863.6158</v>
      </c>
      <c r="G14" s="35">
        <f>'Volumes distribuídos'!Y14</f>
        <v>256362.10709999999</v>
      </c>
      <c r="H14" s="35">
        <f>'Volumes distribuídos'!Z14</f>
        <v>230354.4638</v>
      </c>
      <c r="I14" s="35">
        <f>'Volumes distribuídos'!AA14</f>
        <v>237855.89</v>
      </c>
    </row>
    <row r="15" spans="1:9" ht="15">
      <c r="A15" s="6" t="s">
        <v>4</v>
      </c>
      <c r="B15" s="12" t="s">
        <v>289</v>
      </c>
      <c r="C15" s="90" t="s">
        <v>290</v>
      </c>
      <c r="D15" s="35">
        <f t="shared" ref="D15:E15" si="3">SUM(D2,D5,D9,D13,D14)-D17</f>
        <v>18948828.377199996</v>
      </c>
      <c r="E15" s="35">
        <f t="shared" si="3"/>
        <v>21780303.246299997</v>
      </c>
      <c r="F15" s="35">
        <f>SUM(F2,F5,F9,F13,F14)-F17</f>
        <v>20492982.988300003</v>
      </c>
      <c r="G15" s="35">
        <f>SUM(G2,G5,G9,G13,G14)-G17</f>
        <v>19172900.191099994</v>
      </c>
      <c r="H15" s="35">
        <f>SUM(H2,H5,H9,H13,H14)-H17</f>
        <v>19685167.710899994</v>
      </c>
      <c r="I15" s="35">
        <f>SUM(I2,I5,I9,I13,I14)-I17</f>
        <v>16551803.210000003</v>
      </c>
    </row>
    <row r="16" spans="1:9">
      <c r="B16" s="12"/>
      <c r="C16" s="12"/>
    </row>
    <row r="17" spans="1:9" ht="15">
      <c r="A17" s="6" t="s">
        <v>4</v>
      </c>
      <c r="B17" s="12" t="s">
        <v>291</v>
      </c>
      <c r="C17" s="13" t="s">
        <v>292</v>
      </c>
      <c r="D17" s="35">
        <v>23470781.66</v>
      </c>
      <c r="E17" s="35">
        <v>21348160.829999998</v>
      </c>
      <c r="F17" s="35">
        <v>9432094.9699999988</v>
      </c>
      <c r="G17" s="35">
        <v>9525935.4299999997</v>
      </c>
      <c r="H17" s="35">
        <v>8833561.3200000003</v>
      </c>
      <c r="I17" s="35">
        <v>8603189.0800000001</v>
      </c>
    </row>
    <row r="19" spans="1:9" ht="15">
      <c r="D19" s="35"/>
      <c r="E19" s="35"/>
      <c r="F19" s="35"/>
      <c r="G19" s="35"/>
      <c r="H19" s="35"/>
      <c r="I19" s="35"/>
    </row>
    <row r="20" spans="1:9" ht="15">
      <c r="D20" s="35"/>
      <c r="E20" s="35"/>
      <c r="F20" s="35"/>
      <c r="G20" s="35"/>
      <c r="H20" s="35"/>
      <c r="I20" s="35"/>
    </row>
    <row r="21" spans="1:9">
      <c r="D21" s="3"/>
      <c r="E21" s="3"/>
      <c r="F21" s="3"/>
      <c r="G21" s="3"/>
      <c r="H21" s="3"/>
      <c r="I21" s="3"/>
    </row>
  </sheetData>
  <pageMargins left="0.7" right="0.7" top="0.75" bottom="0.75" header="0.3" footer="0.3"/>
  <pageSetup paperSize="9" orientation="portrait" r:id="rId1"/>
  <headerFooter>
    <oddHeader>&amp;L&amp;"Calibri"&amp;10&amp;K000000 Interno&amp;1#_x000D_</oddHeader>
    <oddFooter>&amp;L_x000D_&amp;1#&amp;"Calibri"&amp;10&amp;K000000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0F3B8AE793C54EA14EE9443FAAC7DC" ma:contentTypeVersion="10" ma:contentTypeDescription="Crie um novo documento." ma:contentTypeScope="" ma:versionID="8763b5231c4b812a8903b36f000d1030">
  <xsd:schema xmlns:xsd="http://www.w3.org/2001/XMLSchema" xmlns:xs="http://www.w3.org/2001/XMLSchema" xmlns:p="http://schemas.microsoft.com/office/2006/metadata/properties" xmlns:ns2="0ff65399-0bf0-4dc6-907e-7a410ec26aa2" xmlns:ns3="ee2ee786-5dbf-416d-a6ca-1c11c7006ec5" targetNamespace="http://schemas.microsoft.com/office/2006/metadata/properties" ma:root="true" ma:fieldsID="103f828904bee9c68873a6da51acb34e" ns2:_="" ns3:_="">
    <xsd:import namespace="0ff65399-0bf0-4dc6-907e-7a410ec26aa2"/>
    <xsd:import namespace="ee2ee786-5dbf-416d-a6ca-1c11c7006e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65399-0bf0-4dc6-907e-7a410ec26a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d5949dc0-332d-4f90-9758-939af5d309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2ee786-5dbf-416d-a6ca-1c11c7006ec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84d36d-a2a0-49b4-8de6-73ac90d1d7aa}" ma:internalName="TaxCatchAll" ma:showField="CatchAllData" ma:web="ee2ee786-5dbf-416d-a6ca-1c11c7006e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e2ee786-5dbf-416d-a6ca-1c11c7006ec5" xsi:nil="true"/>
    <lcf76f155ced4ddcb4097134ff3c332f xmlns="0ff65399-0bf0-4dc6-907e-7a410ec26aa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382A82B-0A03-4A6C-A010-AE732C5B28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ADD09E-120F-4C39-BCC5-4906F16A9C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f65399-0bf0-4dc6-907e-7a410ec26aa2"/>
    <ds:schemaRef ds:uri="ee2ee786-5dbf-416d-a6ca-1c11c7006e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EC37319-A65B-4A70-9E53-BEAC3FFDB5AF}">
  <ds:schemaRefs>
    <ds:schemaRef ds:uri="http://schemas.microsoft.com/office/2006/documentManagement/types"/>
    <ds:schemaRef ds:uri="http://purl.org/dc/elements/1.1/"/>
    <ds:schemaRef ds:uri="0ff65399-0bf0-4dc6-907e-7a410ec26aa2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ee2ee786-5dbf-416d-a6ca-1c11c7006ec5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12</vt:i4>
      </vt:variant>
    </vt:vector>
  </HeadingPairs>
  <TitlesOfParts>
    <vt:vector size="12" baseType="lpstr">
      <vt:lpstr>Preço Gás Adquirido</vt:lpstr>
      <vt:lpstr>Volume Gás Adquirido</vt:lpstr>
      <vt:lpstr>Montantes Aquisição</vt:lpstr>
      <vt:lpstr>Encargos</vt:lpstr>
      <vt:lpstr>Custos de Aquisição</vt:lpstr>
      <vt:lpstr>Volumes distribuídos</vt:lpstr>
      <vt:lpstr>Custo Distribuição</vt:lpstr>
      <vt:lpstr>CONTA GRÁFICA</vt:lpstr>
      <vt:lpstr>Volume projetado</vt:lpstr>
      <vt:lpstr>Atualização PV</vt:lpstr>
      <vt:lpstr>Indicadores</vt:lpstr>
      <vt:lpstr>Indicador - Dados primários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Cristiane Hirt Kafer</dc:creator>
  <cp:lastModifiedBy>agergs</cp:lastModifiedBy>
  <cp:revision/>
  <dcterms:created xsi:type="dcterms:W3CDTF">2025-03-13T17:57:04Z</dcterms:created>
  <dcterms:modified xsi:type="dcterms:W3CDTF">2026-07-13T16:08:20Z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ab0ba6-325a-4ff3-b189-c99ed6ba8297_Enabled">
    <vt:lpwstr>true</vt:lpwstr>
  </property>
  <property fmtid="{D5CDD505-2E9C-101B-9397-08002B2CF9AE}" pid="3" name="MSIP_Label_72ab0ba6-325a-4ff3-b189-c99ed6ba8297_SetDate">
    <vt:lpwstr>2026-04-13T23:59:51Z</vt:lpwstr>
  </property>
  <property fmtid="{D5CDD505-2E9C-101B-9397-08002B2CF9AE}" pid="4" name="MSIP_Label_72ab0ba6-325a-4ff3-b189-c99ed6ba8297_Method">
    <vt:lpwstr>Privileged</vt:lpwstr>
  </property>
  <property fmtid="{D5CDD505-2E9C-101B-9397-08002B2CF9AE}" pid="5" name="MSIP_Label_72ab0ba6-325a-4ff3-b189-c99ed6ba8297_Name">
    <vt:lpwstr>Interno</vt:lpwstr>
  </property>
  <property fmtid="{D5CDD505-2E9C-101B-9397-08002B2CF9AE}" pid="6" name="MSIP_Label_72ab0ba6-325a-4ff3-b189-c99ed6ba8297_SiteId">
    <vt:lpwstr>9baa7c48-58d1-4318-be98-8e9ba45a2772</vt:lpwstr>
  </property>
  <property fmtid="{D5CDD505-2E9C-101B-9397-08002B2CF9AE}" pid="7" name="MSIP_Label_72ab0ba6-325a-4ff3-b189-c99ed6ba8297_ActionId">
    <vt:lpwstr>cb1a0d2a-f8ef-42ed-8c67-a7722d36e7b7</vt:lpwstr>
  </property>
  <property fmtid="{D5CDD505-2E9C-101B-9397-08002B2CF9AE}" pid="8" name="MSIP_Label_72ab0ba6-325a-4ff3-b189-c99ed6ba8297_ContentBits">
    <vt:lpwstr>3</vt:lpwstr>
  </property>
  <property fmtid="{D5CDD505-2E9C-101B-9397-08002B2CF9AE}" pid="9" name="MSIP_Label_72ab0ba6-325a-4ff3-b189-c99ed6ba8297_Tag">
    <vt:lpwstr>10, 0, 1, 1</vt:lpwstr>
  </property>
  <property fmtid="{D5CDD505-2E9C-101B-9397-08002B2CF9AE}" pid="10" name="ContentTypeId">
    <vt:lpwstr>0x010100360F3B8AE793C54EA14EE9443FAAC7DC</vt:lpwstr>
  </property>
</Properties>
</file>